
<file path=[Content_Types].xml><?xml version="1.0" encoding="utf-8"?>
<Types xmlns="http://schemas.openxmlformats.org/package/2006/content-types">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troduzione" sheetId="1" r:id="rId4"/>
    <sheet state="visible" name="Indicatore 1_popolazione reside" sheetId="2" r:id="rId5"/>
    <sheet state="visible" name="Indicatore 2_densità popolazion" sheetId="3" r:id="rId6"/>
    <sheet state="visible" name="Indicatore 3_struttura demograf" sheetId="4" r:id="rId7"/>
    <sheet state="visible" name="Indicatore 4_cittadini stranie" sheetId="5" r:id="rId8"/>
    <sheet state="visible" name="Indicatore 5_Pop straniera per " sheetId="6" r:id="rId9"/>
    <sheet state="visible" name="Indicatore 6_Minori stranieri" sheetId="7" r:id="rId10"/>
    <sheet state="visible" name="Indicatore 7_Stranieri ogni 10" sheetId="8" r:id="rId11"/>
    <sheet state="visible" name="Indicatore 8_tasso di mortalità" sheetId="9" r:id="rId12"/>
    <sheet state="visible" name="Indicatore 9_tasso di natalità" sheetId="10" r:id="rId13"/>
    <sheet state="visible" name="Indicatore 10_ tasso di fecondi" sheetId="11" r:id="rId14"/>
    <sheet state="visible" name="Indicatore 11_saldo migratorio" sheetId="12" r:id="rId15"/>
    <sheet state="visible" name="Indicatore 12_età media delle d" sheetId="13" r:id="rId16"/>
    <sheet state="visible" name="Indicatore 13_Numero medio di f" sheetId="14" r:id="rId17"/>
    <sheet state="visible" name="Indicatore 14_età media" sheetId="15" r:id="rId18"/>
    <sheet state="visible" name="Indicatore 15_Indice di vecchia" sheetId="16" r:id="rId19"/>
    <sheet state="visible" name="Indicatore 16_Indice dipendenza" sheetId="17" r:id="rId20"/>
    <sheet state="visible" name="Indicatore 17_Indice di dipende" sheetId="18" r:id="rId21"/>
  </sheets>
  <definedNames/>
  <calcPr/>
  <extLst>
    <ext uri="GoogleSheetsCustomDataVersion2">
      <go:sheetsCustomData xmlns:go="http://customooxmlschemas.google.com/" r:id="rId22" roundtripDataChecksum="2S+t2fSJUkcP2nGFKq25sylRZ6/D1WnubBdLEK5R+jM="/>
    </ext>
  </extLst>
</workbook>
</file>

<file path=xl/sharedStrings.xml><?xml version="1.0" encoding="utf-8"?>
<sst xmlns="http://schemas.openxmlformats.org/spreadsheetml/2006/main" count="691" uniqueCount="144">
  <si>
    <t>I Rapporto Annuale 2025 - OsservaBrescia</t>
  </si>
  <si>
    <t>Dati socio-demografici</t>
  </si>
  <si>
    <t>Il Rapporto è introdotto da un capitolo che contiene i più significativi indicatori socio-demografici relativi alla Provincia di Biella, alla Regione Piemonte e all’Italia. Il capitolo è pensato per descrivere lo scenario locale nel suo complesso e provare a posizionarlo rispetto al contesto regionale e nazionale; si propone, inoltre, come chiave di lettura utile all'interpretazione degli indicatori contenuti negli altri capitoli. In questa prima sezione trovano spazio dati relativi alla popolazione residente e alla sua struttura demografica. Sono inoltre presenti i principali indicatori e indici statistici demografici relativi alla mortalità, alla fecondità, alla presenza di persone anziane e straniere.</t>
  </si>
  <si>
    <t>Elaborazione a cura del Laboratorio Percorsi di Secondo Welfare</t>
  </si>
  <si>
    <t xml:space="preserve">Chiara Lodi Rizzini, chiara.lodirizzini@secondowelfare.it
Franca Maino, franca.maino@secondowelfare.it
Alice Sofia Fanelli, alice.fanelli@secondowelfare.it
</t>
  </si>
  <si>
    <t>Come citare</t>
  </si>
  <si>
    <t>OsservaBrescia – Osservatorio territoriale del Bresciano (2025), I Rapporto annuale 2025.</t>
  </si>
  <si>
    <t>Riepilogo degli indicatori del Capitolo Socio-Demo</t>
  </si>
  <si>
    <t>Numero indicatore</t>
  </si>
  <si>
    <t>Gruppo/categoria</t>
  </si>
  <si>
    <t>Indicatore</t>
  </si>
  <si>
    <t>Annualità di riferimento</t>
  </si>
  <si>
    <t>Fonte</t>
  </si>
  <si>
    <t>Struttura della popolazione</t>
  </si>
  <si>
    <t>Popolazione residente</t>
  </si>
  <si>
    <t>2005-2025</t>
  </si>
  <si>
    <t>Istat</t>
  </si>
  <si>
    <t>Densità della popolazione</t>
  </si>
  <si>
    <t>2022-2025</t>
  </si>
  <si>
    <t>Struttura demografica della popolazione</t>
  </si>
  <si>
    <t>2019-2025</t>
  </si>
  <si>
    <t>Cittadini stranieri residenti</t>
  </si>
  <si>
    <t>Popolazione straniera per provenienza</t>
  </si>
  <si>
    <t>Minori stranieri residenti</t>
  </si>
  <si>
    <t>Stranieri residenti ogni 100 residenti</t>
  </si>
  <si>
    <t>2017-2025</t>
  </si>
  <si>
    <t>Indicatori demografici</t>
  </si>
  <si>
    <t>Tasso di mortalità</t>
  </si>
  <si>
    <t>2005-2024</t>
  </si>
  <si>
    <t>Tasso di natalità</t>
  </si>
  <si>
    <t>Tasso di fecondità</t>
  </si>
  <si>
    <t>2000-2023</t>
  </si>
  <si>
    <t>Saldo migratorio</t>
  </si>
  <si>
    <t>2002-2024</t>
  </si>
  <si>
    <t>Età media delle donne al primo parto</t>
  </si>
  <si>
    <t>Numero medio di figli per donna</t>
  </si>
  <si>
    <t>2017-2024</t>
  </si>
  <si>
    <t xml:space="preserve">Età media </t>
  </si>
  <si>
    <t>Indice di vecchiaia</t>
  </si>
  <si>
    <t>Indice di dipendenza strutturale</t>
  </si>
  <si>
    <t>Indice di dipendenza degli anziani</t>
  </si>
  <si>
    <t>Popolazione residente su scala nazionale, regionale e provinciale 2005-2025</t>
  </si>
  <si>
    <t>Italia</t>
  </si>
  <si>
    <t>Lombardia</t>
  </si>
  <si>
    <t>Brescia</t>
  </si>
  <si>
    <t>Fonte: elaborazione su dati Istat</t>
  </si>
  <si>
    <t>Popolazione residente  (2019-2025)</t>
  </si>
  <si>
    <t xml:space="preserve">v.a. </t>
  </si>
  <si>
    <t xml:space="preserve">inc. % sul totale della popolazione italiana </t>
  </si>
  <si>
    <t xml:space="preserve">Fonte: elaborazione su dati Istat. </t>
  </si>
  <si>
    <t>Note: Popolazione residente al 1° gennaio dell'anno di riferimento. Le incidenze percentuali della popolazione residente a livello provinciale e regionale sono calcolate sul totale della popolazione residente in Italia.  I dati 2025 sono previsionali.</t>
  </si>
  <si>
    <t>Popolazione residente su scala nazionale, regionale e provinciale, per genere, anni 2019-2025</t>
  </si>
  <si>
    <t>Uomini</t>
  </si>
  <si>
    <t>Donne</t>
  </si>
  <si>
    <t>inc. %</t>
  </si>
  <si>
    <t>Popolazione residente nella Provincia di Brescia (2025)</t>
  </si>
  <si>
    <t>v.a</t>
  </si>
  <si>
    <t>%</t>
  </si>
  <si>
    <t>0-2</t>
  </si>
  <si>
    <t>3-5</t>
  </si>
  <si>
    <t>6-11</t>
  </si>
  <si>
    <t>12-17</t>
  </si>
  <si>
    <t>18-24</t>
  </si>
  <si>
    <t>25-34</t>
  </si>
  <si>
    <t>35-44</t>
  </si>
  <si>
    <t>45-54</t>
  </si>
  <si>
    <t>55-64</t>
  </si>
  <si>
    <t>65-74</t>
  </si>
  <si>
    <t>75 e oltre</t>
  </si>
  <si>
    <t>Totale</t>
  </si>
  <si>
    <t>Popolazione italiana residente nella Provincia di Brescia (2002; 2005; 2009; 2019)</t>
  </si>
  <si>
    <t>Popolazione residente e densità della popolazione (2022-2025)</t>
  </si>
  <si>
    <t>Superficie territoriale (Kmq)</t>
  </si>
  <si>
    <t>Densità  popolazione/kmq</t>
  </si>
  <si>
    <t>Bergamo</t>
  </si>
  <si>
    <t>Como</t>
  </si>
  <si>
    <t>Superficie (km²)</t>
  </si>
  <si>
    <t>Cremona</t>
  </si>
  <si>
    <t>Lecco</t>
  </si>
  <si>
    <t>Lodi</t>
  </si>
  <si>
    <t>Mantova</t>
  </si>
  <si>
    <t>Milano</t>
  </si>
  <si>
    <t>Monza e Brianza</t>
  </si>
  <si>
    <t>Pavia</t>
  </si>
  <si>
    <t>Sondrio</t>
  </si>
  <si>
    <t>Varese</t>
  </si>
  <si>
    <t>Struttura demografica della popolazione in Italia, Lombardia e provincia di Brescia per fascia di età (2019-2025)</t>
  </si>
  <si>
    <t>0-4</t>
  </si>
  <si>
    <t>5-14</t>
  </si>
  <si>
    <t>15-19</t>
  </si>
  <si>
    <t>20-34</t>
  </si>
  <si>
    <t>35-49</t>
  </si>
  <si>
    <t>50-64</t>
  </si>
  <si>
    <t>75-84</t>
  </si>
  <si>
    <t>85-100 e più</t>
  </si>
  <si>
    <t>Note: Popolazione residente al 1° gennaio dell'anno di riferimento. I dati 2025 sono previsionali.</t>
  </si>
  <si>
    <t>Cittadini stranieri residenti (2019-2025)</t>
  </si>
  <si>
    <t>inc. % sul totale della popolazione straniera residente in Italia</t>
  </si>
  <si>
    <t>inc. % sul totale della popolazione (italiana e straniera) nel territorio di riferimento</t>
  </si>
  <si>
    <t>Cittadini stranieri residenti su scala nazionale, regionale e provinciale, per genere (2019-2025)</t>
  </si>
  <si>
    <t>Cittadini stranieri residenti nella provincia di Brescia per età (2025)</t>
  </si>
  <si>
    <t>Popolazione straniera per provenienza in Italia, Lombardia e provincia di Brescia (2025)</t>
  </si>
  <si>
    <t>Unione europea (28 paesi)</t>
  </si>
  <si>
    <t>Altri paesi europei non Ue 28 (aggregato che cambia in base al contesto)</t>
  </si>
  <si>
    <t>Africa settentrionale</t>
  </si>
  <si>
    <t>Africa occidentale</t>
  </si>
  <si>
    <t>Africa orientale</t>
  </si>
  <si>
    <t>Africa centro-meridionale</t>
  </si>
  <si>
    <t>Asia occidentale</t>
  </si>
  <si>
    <t>Asia orientale</t>
  </si>
  <si>
    <t>Asia centro-meridionale</t>
  </si>
  <si>
    <t>America settentrionale</t>
  </si>
  <si>
    <t>America centro-meridionale</t>
  </si>
  <si>
    <t>Oceania</t>
  </si>
  <si>
    <t>Apolide</t>
  </si>
  <si>
    <t>Minori (0-17 anni) stranieri residenti in Italia, Lombardia e Brescia (2019-2025)</t>
  </si>
  <si>
    <t>inc. % sul totale della popolazione straniera minore residente in Italia</t>
  </si>
  <si>
    <t>inc. % sul totale della popolazione straniera nel territorio di riferimento</t>
  </si>
  <si>
    <t>Minori (0-17 anni) stranieri residenti in Italia, Lombardia e Brescia per genere (2019-2025)</t>
  </si>
  <si>
    <t>Stranieri residenti ogni 100 residenti in Italia, Lombardia e Province Lombarde (2019-2025)</t>
  </si>
  <si>
    <t>maschi</t>
  </si>
  <si>
    <t>femmine</t>
  </si>
  <si>
    <t>totale</t>
  </si>
  <si>
    <t>Tasso di mortalità in Italia, Lombardia e nelle Province Lombarde (2005-2024)</t>
  </si>
  <si>
    <t>Note: Il tasso di mortalità esprime il rapporto tra il numero dei decessi nell’anno e l’ammontare medio della popolazione residente, moltiplicato per 1000. I dati del 2024 sono previsionali.</t>
  </si>
  <si>
    <t>Tasso di natalità in Italia, Lombardia e nelle Province Lombarde (2005-2024)</t>
  </si>
  <si>
    <t>Tempo</t>
  </si>
  <si>
    <t>Note: il dato esprime il rapporto tra il numero di nati vivi dell’anno e l’ammontare medio della popolazione residente, moltiplicato per 1000. I dati del 2024 sono previsionali.</t>
  </si>
  <si>
    <t>Tasso di fecondità in Italia, Lombardia e nelle Province Lombarde (2000-2023)</t>
  </si>
  <si>
    <t>Fonte: Istat</t>
  </si>
  <si>
    <t>Saldo migratorio totale in Italia, Lombardia e provincia di Brescia (2005-2024)</t>
  </si>
  <si>
    <t>Note: Il saldo migratorio totale, moltiplicato per mille abitanti, esprime la differenza tra il numero degli iscritti e il numero dei cancellati dai registri anagrafici per trasferimento di residenza. I dati del 2024 sono previsionali.</t>
  </si>
  <si>
    <t>Età media delle madri al parto in Italia, Lombardia e provincia di Brescia (2005-2024)</t>
  </si>
  <si>
    <t>Note: La media delle età al parto ponderata con i tassi specifici di fecondità per età della madre al parto (calcolati per anno di evento o per generazione).</t>
  </si>
  <si>
    <t>Numero medio di figli per donna Italia, Lombardia e nelle Province Lombarde  (2017-2024)</t>
  </si>
  <si>
    <t>Nota: In un anno di calendario (anno di evento) il numero medio di figli per donna è dato dalla somma dei tassi specifici di fecondità calcolati rapportando, per ogni età feconda, il numero di nati vivi all’ammontare medio annuo della popolazione femminile di quell'età. Il dato del 2024 è stimato.</t>
  </si>
  <si>
    <t>Età media della popolazione in Italia, Lombardia e in provincia di Brescia (2005-2025)</t>
  </si>
  <si>
    <t>Note: Popolazione residente al 1° gennaio 2025. L'età media della popolazione residente a una certa data è espressa in anni e decimi di anno. È ottenuta come media ponderata con pesi pari all'ammontare della popolazione in ciascuna classe di età. I dati del 2025 sono previsionali.</t>
  </si>
  <si>
    <t>Indice di vecchiaia in Italia, Lombardia e Province Lombarde, valori percentuali (2005-2025)</t>
  </si>
  <si>
    <t>Note: L'indice esprime il rapporto tra la popolazione di 65 anni e oltre e la popolazione di età 0-14 anni, moltiplicato per 100. Il dato 2025 è previsionale.</t>
  </si>
  <si>
    <t>Indice di dipendenza strutturale in Italia, Lombardia e Province Lombarde, valori percentuali (2005-2025)</t>
  </si>
  <si>
    <t>Note: L'indice esprime il rapporto tra la popolazione in età non attiva (0-14 anni e 65 anni e oltre) e la popolazione in età attiva (15-64 anni), moltiplicato per 100. Il dato 2025 è previsionale.</t>
  </si>
  <si>
    <t>Indice di dipendenza degli anziani in Italia, Lombardia e Province Lombarde, valore percentuale (2005-2025)</t>
  </si>
  <si>
    <t>Note: L'indice esprime il rapporto tra la popolazione di 65 anni e oltre e la popolazione in età attiva (15-64 anni), moltiplicato per 100. Il dato 2025 è previsionale.</t>
  </si>
</sst>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_-* #,##0\ _€_-;\-* #,##0\ _€_-;_-* &quot;-&quot;\ _€_-;_-@"/>
    <numFmt numFmtId="165" formatCode="_-* #,##0\ _€_-;\-* #,##0\ _€_-;_-* &quot;-&quot;??\ _€_-;_-@"/>
    <numFmt numFmtId="166" formatCode="#,##0.0"/>
    <numFmt numFmtId="167" formatCode="0.0"/>
    <numFmt numFmtId="168" formatCode="[h]\.mm\.ss"/>
    <numFmt numFmtId="169" formatCode="h\.mm\.ss"/>
    <numFmt numFmtId="170" formatCode="0.0%"/>
    <numFmt numFmtId="171" formatCode="h\.mm"/>
  </numFmts>
  <fonts count="22">
    <font>
      <sz val="10.0"/>
      <color rgb="FF000000"/>
      <name val="Arial"/>
      <scheme val="minor"/>
    </font>
    <font>
      <b/>
      <sz val="14.0"/>
      <color theme="1"/>
      <name val="Cabin"/>
    </font>
    <font/>
    <font>
      <color theme="1"/>
      <name val="Arial"/>
    </font>
    <font>
      <b/>
      <color theme="1"/>
      <name val="Cabin"/>
    </font>
    <font>
      <color theme="1"/>
      <name val="Cabin"/>
    </font>
    <font>
      <u/>
      <color rgb="FF1155CC"/>
      <name val="Cabin"/>
    </font>
    <font>
      <u/>
      <color rgb="FF0000FF"/>
      <name val="Cabin"/>
    </font>
    <font>
      <sz val="10.0"/>
      <color theme="1"/>
      <name val="Cabin"/>
    </font>
    <font>
      <sz val="10.0"/>
      <color rgb="FF000000"/>
      <name val="Cabin"/>
    </font>
    <font>
      <b/>
      <sz val="10.0"/>
      <color theme="1"/>
      <name val="Cabin"/>
    </font>
    <font>
      <sz val="10.0"/>
      <color rgb="FF00295A"/>
      <name val="Cabin"/>
    </font>
    <font>
      <sz val="11.0"/>
      <color theme="1"/>
      <name val="Calibri"/>
    </font>
    <font>
      <b/>
      <sz val="10.0"/>
      <color rgb="FF000000"/>
      <name val="Cabin"/>
    </font>
    <font>
      <sz val="10.0"/>
      <color rgb="FF00295A"/>
      <name val="Roboto"/>
    </font>
    <font>
      <sz val="8.0"/>
      <color rgb="FF666666"/>
      <name val="Arial"/>
    </font>
    <font>
      <sz val="11.0"/>
      <color rgb="FF000000"/>
      <name val="Arial"/>
    </font>
    <font>
      <sz val="10.0"/>
      <color theme="1"/>
      <name val="Do Hyeon"/>
    </font>
    <font>
      <sz val="12.0"/>
      <color rgb="FF00295A"/>
      <name val="Roboto"/>
    </font>
    <font>
      <strike/>
      <sz val="10.0"/>
      <color theme="1"/>
      <name val="Cabin"/>
    </font>
    <font>
      <sz val="10.0"/>
      <color theme="1"/>
      <name val="Arial"/>
    </font>
    <font>
      <sz val="11.0"/>
      <color rgb="FF000000"/>
      <name val="Calibri"/>
    </font>
  </fonts>
  <fills count="5">
    <fill>
      <patternFill patternType="none"/>
    </fill>
    <fill>
      <patternFill patternType="lightGray"/>
    </fill>
    <fill>
      <patternFill patternType="solid">
        <fgColor rgb="FFFFF2CC"/>
        <bgColor rgb="FFFFF2CC"/>
      </patternFill>
    </fill>
    <fill>
      <patternFill patternType="solid">
        <fgColor rgb="FFD9EAD3"/>
        <bgColor rgb="FFD9EAD3"/>
      </patternFill>
    </fill>
    <fill>
      <patternFill patternType="solid">
        <fgColor rgb="FFFFFFFF"/>
        <bgColor rgb="FFFFFFFF"/>
      </patternFill>
    </fill>
  </fills>
  <borders count="15">
    <border/>
    <border>
      <bottom style="thin">
        <color rgb="FF000000"/>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right style="thin">
        <color rgb="FF000000"/>
      </right>
      <bottom style="thin">
        <color rgb="FF000000"/>
      </bottom>
    </border>
    <border>
      <right style="thin">
        <color rgb="FF000000"/>
      </right>
    </border>
    <border>
      <left style="thin">
        <color rgb="FF000000"/>
      </left>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right/>
      <top/>
      <bottom/>
    </border>
    <border>
      <left style="thin">
        <color rgb="FF000000"/>
      </left>
    </border>
    <border>
      <left style="thin">
        <color rgb="FF000000"/>
      </left>
      <right style="thin">
        <color rgb="FF000000"/>
      </right>
      <top style="thin">
        <color rgb="FF000000"/>
      </top>
      <bottom/>
    </border>
  </borders>
  <cellStyleXfs count="1">
    <xf borderId="0" fillId="0" fontId="0" numFmtId="0" applyAlignment="1" applyFont="1"/>
  </cellStyleXfs>
  <cellXfs count="155">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bottom" wrapText="1"/>
    </xf>
    <xf borderId="1" fillId="0" fontId="2" numFmtId="0" xfId="0" applyBorder="1" applyFont="1"/>
    <xf borderId="0" fillId="0" fontId="3" numFmtId="0" xfId="0" applyAlignment="1" applyFont="1">
      <alignment vertical="bottom"/>
    </xf>
    <xf borderId="2" fillId="3" fontId="4" numFmtId="0" xfId="0" applyAlignment="1" applyBorder="1" applyFill="1" applyFont="1">
      <alignment horizontal="right" shrinkToFit="0" vertical="bottom" wrapText="1"/>
    </xf>
    <xf borderId="3" fillId="0" fontId="5" numFmtId="0" xfId="0" applyAlignment="1" applyBorder="1" applyFont="1">
      <alignment shrinkToFit="0" vertical="bottom" wrapText="1"/>
    </xf>
    <xf borderId="4" fillId="0" fontId="2" numFmtId="0" xfId="0" applyBorder="1" applyFont="1"/>
    <xf borderId="5" fillId="0" fontId="2" numFmtId="0" xfId="0" applyBorder="1" applyFont="1"/>
    <xf borderId="6" fillId="3" fontId="4" numFmtId="0" xfId="0" applyAlignment="1" applyBorder="1" applyFont="1">
      <alignment horizontal="right" shrinkToFit="0" vertical="bottom" wrapText="1"/>
    </xf>
    <xf borderId="1" fillId="0" fontId="5" numFmtId="0" xfId="0" applyAlignment="1" applyBorder="1" applyFont="1">
      <alignment shrinkToFit="0" vertical="bottom" wrapText="1"/>
    </xf>
    <xf borderId="7" fillId="0" fontId="2" numFmtId="0" xfId="0" applyBorder="1" applyFont="1"/>
    <xf borderId="0" fillId="2" fontId="1" numFmtId="0" xfId="0" applyAlignment="1" applyFont="1">
      <alignment horizontal="center" shrinkToFit="0" vertical="bottom" wrapText="1"/>
    </xf>
    <xf borderId="7" fillId="3" fontId="4" numFmtId="0" xfId="0" applyAlignment="1" applyBorder="1" applyFont="1">
      <alignment horizontal="right" shrinkToFit="0" vertical="bottom" wrapText="1"/>
    </xf>
    <xf borderId="5" fillId="3" fontId="4" numFmtId="0" xfId="0" applyAlignment="1" applyBorder="1" applyFont="1">
      <alignment shrinkToFit="0" vertical="bottom" wrapText="1"/>
    </xf>
    <xf borderId="7" fillId="0" fontId="5" numFmtId="0" xfId="0" applyAlignment="1" applyBorder="1" applyFont="1">
      <alignment horizontal="right" shrinkToFit="0" vertical="bottom" wrapText="1"/>
    </xf>
    <xf borderId="8" fillId="0" fontId="5" numFmtId="0" xfId="0" applyAlignment="1" applyBorder="1" applyFont="1">
      <alignment shrinkToFit="0" vertical="bottom" wrapText="1"/>
    </xf>
    <xf borderId="7" fillId="0" fontId="6" numFmtId="0" xfId="0" applyAlignment="1" applyBorder="1" applyFont="1">
      <alignment shrinkToFit="0" vertical="bottom" wrapText="1"/>
    </xf>
    <xf borderId="7" fillId="0" fontId="5" numFmtId="0" xfId="0" applyAlignment="1" applyBorder="1" applyFont="1">
      <alignment readingOrder="0" vertical="bottom"/>
    </xf>
    <xf borderId="7" fillId="0" fontId="5" numFmtId="0" xfId="0" applyAlignment="1" applyBorder="1" applyFont="1">
      <alignment vertical="bottom"/>
    </xf>
    <xf borderId="8" fillId="0" fontId="2" numFmtId="0" xfId="0" applyBorder="1" applyFont="1"/>
    <xf borderId="7" fillId="0" fontId="7" numFmtId="0" xfId="0" applyAlignment="1" applyBorder="1" applyFont="1">
      <alignment readingOrder="0" shrinkToFit="0" vertical="bottom" wrapText="1"/>
    </xf>
    <xf borderId="7" fillId="0" fontId="5" numFmtId="0" xfId="0" applyAlignment="1" applyBorder="1" applyFont="1">
      <alignment horizontal="right" readingOrder="0" shrinkToFit="0" vertical="bottom" wrapText="1"/>
    </xf>
    <xf borderId="7" fillId="0" fontId="5" numFmtId="0" xfId="0" applyAlignment="1" applyBorder="1" applyFont="1">
      <alignment horizontal="left" readingOrder="0" vertical="bottom"/>
    </xf>
    <xf borderId="7" fillId="0" fontId="3" numFmtId="0" xfId="0" applyAlignment="1" applyBorder="1" applyFont="1">
      <alignment vertical="bottom"/>
    </xf>
    <xf borderId="0" fillId="0" fontId="8" numFmtId="0" xfId="0" applyFont="1"/>
    <xf borderId="2" fillId="0" fontId="8" numFmtId="0" xfId="0" applyBorder="1" applyFont="1"/>
    <xf borderId="2" fillId="0" fontId="8" numFmtId="0" xfId="0" applyAlignment="1" applyBorder="1" applyFont="1">
      <alignment horizontal="center"/>
    </xf>
    <xf borderId="2" fillId="0" fontId="8" numFmtId="3" xfId="0" applyAlignment="1" applyBorder="1" applyFont="1" applyNumberFormat="1">
      <alignment horizontal="right"/>
    </xf>
    <xf borderId="2" fillId="0" fontId="8" numFmtId="3" xfId="0" applyBorder="1" applyFont="1" applyNumberFormat="1"/>
    <xf borderId="2" fillId="0" fontId="9" numFmtId="3" xfId="0" applyAlignment="1" applyBorder="1" applyFont="1" applyNumberFormat="1">
      <alignment horizontal="right"/>
    </xf>
    <xf borderId="3" fillId="0" fontId="8" numFmtId="0" xfId="0" applyBorder="1" applyFont="1"/>
    <xf borderId="3" fillId="0" fontId="8" numFmtId="0" xfId="0" applyAlignment="1" applyBorder="1" applyFont="1">
      <alignment horizontal="center"/>
    </xf>
    <xf borderId="2" fillId="0" fontId="8" numFmtId="0" xfId="0" applyAlignment="1" applyBorder="1" applyFont="1">
      <alignment shrinkToFit="0" wrapText="1"/>
    </xf>
    <xf borderId="2" fillId="0" fontId="8" numFmtId="9" xfId="0" applyBorder="1" applyFont="1" applyNumberFormat="1"/>
    <xf borderId="0" fillId="0" fontId="9" numFmtId="3" xfId="0" applyAlignment="1" applyFont="1" applyNumberFormat="1">
      <alignment horizontal="right"/>
    </xf>
    <xf borderId="2" fillId="0" fontId="8" numFmtId="10" xfId="0" applyBorder="1" applyFont="1" applyNumberFormat="1"/>
    <xf borderId="9" fillId="0" fontId="8" numFmtId="0" xfId="0" applyBorder="1" applyFont="1"/>
    <xf borderId="1" fillId="0" fontId="8" numFmtId="0" xfId="0" applyBorder="1" applyFont="1"/>
    <xf borderId="6" fillId="0" fontId="8" numFmtId="0" xfId="0" applyAlignment="1" applyBorder="1" applyFont="1">
      <alignment shrinkToFit="0" wrapText="1"/>
    </xf>
    <xf borderId="7" fillId="0" fontId="8" numFmtId="0" xfId="0" applyAlignment="1" applyBorder="1" applyFont="1">
      <alignment shrinkToFit="0" wrapText="1"/>
    </xf>
    <xf borderId="6" fillId="0" fontId="8" numFmtId="3" xfId="0" applyAlignment="1" applyBorder="1" applyFont="1" applyNumberFormat="1">
      <alignment horizontal="right"/>
    </xf>
    <xf borderId="7" fillId="0" fontId="8" numFmtId="10" xfId="0" applyAlignment="1" applyBorder="1" applyFont="1" applyNumberFormat="1">
      <alignment horizontal="right"/>
    </xf>
    <xf borderId="7" fillId="0" fontId="8" numFmtId="3" xfId="0" applyAlignment="1" applyBorder="1" applyFont="1" applyNumberFormat="1">
      <alignment horizontal="right"/>
    </xf>
    <xf borderId="2" fillId="0" fontId="8" numFmtId="164" xfId="0" applyBorder="1" applyFont="1" applyNumberFormat="1"/>
    <xf borderId="3" fillId="0" fontId="8" numFmtId="49" xfId="0" applyBorder="1" applyFont="1" applyNumberFormat="1"/>
    <xf borderId="2" fillId="0" fontId="9" numFmtId="164" xfId="0" applyBorder="1" applyFont="1" applyNumberFormat="1"/>
    <xf borderId="2" fillId="0" fontId="9" numFmtId="0" xfId="0" applyBorder="1" applyFont="1"/>
    <xf borderId="2" fillId="0" fontId="8" numFmtId="165" xfId="0" applyBorder="1" applyFont="1" applyNumberFormat="1"/>
    <xf borderId="2" fillId="0" fontId="9" numFmtId="165" xfId="0" applyBorder="1" applyFont="1" applyNumberFormat="1"/>
    <xf borderId="0" fillId="0" fontId="9" numFmtId="0" xfId="0" applyFont="1"/>
    <xf borderId="0" fillId="0" fontId="8" numFmtId="0" xfId="0" applyFont="1"/>
    <xf borderId="0" fillId="0" fontId="9" numFmtId="0" xfId="0" applyAlignment="1" applyFont="1">
      <alignment horizontal="center"/>
    </xf>
    <xf borderId="10" fillId="0" fontId="8" numFmtId="0" xfId="0" applyAlignment="1" applyBorder="1" applyFont="1">
      <alignment horizontal="center" shrinkToFit="0" wrapText="1"/>
    </xf>
    <xf borderId="0" fillId="0" fontId="9" numFmtId="0" xfId="0" applyAlignment="1" applyFont="1">
      <alignment horizontal="center" shrinkToFit="0" wrapText="1"/>
    </xf>
    <xf borderId="6" fillId="0" fontId="2" numFmtId="0" xfId="0" applyBorder="1" applyFont="1"/>
    <xf borderId="2" fillId="0" fontId="9" numFmtId="0" xfId="0" applyAlignment="1" applyBorder="1" applyFont="1">
      <alignment horizontal="center" vertical="top"/>
    </xf>
    <xf borderId="2" fillId="0" fontId="8" numFmtId="166" xfId="0" applyBorder="1" applyFont="1" applyNumberFormat="1"/>
    <xf borderId="2" fillId="0" fontId="8" numFmtId="166" xfId="0" applyAlignment="1" applyBorder="1" applyFont="1" applyNumberFormat="1">
      <alignment horizontal="right"/>
    </xf>
    <xf borderId="0" fillId="0" fontId="10" numFmtId="0" xfId="0" applyAlignment="1" applyFont="1">
      <alignment horizontal="center"/>
    </xf>
    <xf borderId="0" fillId="0" fontId="8" numFmtId="4" xfId="0" applyFont="1" applyNumberFormat="1"/>
    <xf borderId="2" fillId="0" fontId="8" numFmtId="3" xfId="0" applyAlignment="1" applyBorder="1" applyFont="1" applyNumberFormat="1">
      <alignment horizontal="right" shrinkToFit="0" wrapText="1"/>
    </xf>
    <xf borderId="0" fillId="0" fontId="8" numFmtId="0" xfId="0" applyAlignment="1" applyFont="1">
      <alignment horizontal="right"/>
    </xf>
    <xf borderId="0" fillId="0" fontId="9" numFmtId="3" xfId="0" applyFont="1" applyNumberFormat="1"/>
    <xf borderId="0" fillId="0" fontId="9" numFmtId="167" xfId="0" applyAlignment="1" applyFont="1" applyNumberFormat="1">
      <alignment horizontal="right"/>
    </xf>
    <xf borderId="0" fillId="0" fontId="9" numFmtId="3" xfId="0" applyAlignment="1" applyFont="1" applyNumberFormat="1">
      <alignment horizontal="right" shrinkToFit="0" wrapText="1"/>
    </xf>
    <xf borderId="0" fillId="0" fontId="9" numFmtId="167" xfId="0" applyFont="1" applyNumberFormat="1"/>
    <xf borderId="0" fillId="0" fontId="9" numFmtId="0" xfId="0" applyAlignment="1" applyFont="1">
      <alignment horizontal="left"/>
    </xf>
    <xf borderId="0" fillId="0" fontId="8" numFmtId="3" xfId="0" applyAlignment="1" applyFont="1" applyNumberFormat="1">
      <alignment horizontal="right" shrinkToFit="0" wrapText="1"/>
    </xf>
    <xf borderId="0" fillId="0" fontId="11" numFmtId="3" xfId="0" applyAlignment="1" applyFont="1" applyNumberFormat="1">
      <alignment vertical="top"/>
    </xf>
    <xf borderId="0" fillId="0" fontId="11" numFmtId="168" xfId="0" applyAlignment="1" applyFont="1" applyNumberFormat="1">
      <alignment vertical="top"/>
    </xf>
    <xf borderId="0" fillId="0" fontId="11" numFmtId="167" xfId="0" applyAlignment="1" applyFont="1" applyNumberFormat="1">
      <alignment vertical="top"/>
    </xf>
    <xf borderId="0" fillId="0" fontId="11" numFmtId="4" xfId="0" applyAlignment="1" applyFont="1" applyNumberFormat="1">
      <alignment vertical="top"/>
    </xf>
    <xf borderId="0" fillId="0" fontId="9" numFmtId="16" xfId="0" applyFont="1" applyNumberFormat="1"/>
    <xf borderId="0" fillId="0" fontId="11" numFmtId="169" xfId="0" applyAlignment="1" applyFont="1" applyNumberFormat="1">
      <alignment vertical="top"/>
    </xf>
    <xf borderId="0" fillId="0" fontId="8" numFmtId="3" xfId="0" applyAlignment="1" applyFont="1" applyNumberFormat="1">
      <alignment horizontal="right"/>
    </xf>
    <xf borderId="0" fillId="0" fontId="11" numFmtId="0" xfId="0" applyAlignment="1" applyFont="1">
      <alignment vertical="top"/>
    </xf>
    <xf borderId="0" fillId="0" fontId="9" numFmtId="4" xfId="0" applyFont="1" applyNumberFormat="1"/>
    <xf borderId="0" fillId="0" fontId="8" numFmtId="0" xfId="0" applyAlignment="1" applyFont="1">
      <alignment vertical="top"/>
    </xf>
    <xf borderId="6" fillId="0" fontId="8" numFmtId="0" xfId="0" applyBorder="1" applyFont="1"/>
    <xf borderId="7" fillId="0" fontId="8" numFmtId="10" xfId="0" applyBorder="1" applyFont="1" applyNumberFormat="1"/>
    <xf borderId="7" fillId="0" fontId="8" numFmtId="0" xfId="0" applyBorder="1" applyFont="1"/>
    <xf borderId="10" fillId="0" fontId="10" numFmtId="0" xfId="0" applyBorder="1" applyFont="1"/>
    <xf borderId="6" fillId="0" fontId="8" numFmtId="3" xfId="0" applyAlignment="1" applyBorder="1" applyFont="1" applyNumberFormat="1">
      <alignment horizontal="center"/>
    </xf>
    <xf borderId="2" fillId="0" fontId="8" numFmtId="165" xfId="0" applyAlignment="1" applyBorder="1" applyFont="1" applyNumberFormat="1">
      <alignment horizontal="center"/>
    </xf>
    <xf borderId="11" fillId="0" fontId="2" numFmtId="0" xfId="0" applyBorder="1" applyFont="1"/>
    <xf borderId="7" fillId="0" fontId="8" numFmtId="165" xfId="0" applyAlignment="1" applyBorder="1" applyFont="1" applyNumberFormat="1">
      <alignment horizontal="center"/>
    </xf>
    <xf borderId="2" fillId="0" fontId="8" numFmtId="3" xfId="0" applyAlignment="1" applyBorder="1" applyFont="1" applyNumberFormat="1">
      <alignment horizontal="center"/>
    </xf>
    <xf borderId="6" fillId="0" fontId="8" numFmtId="165" xfId="0" applyAlignment="1" applyBorder="1" applyFont="1" applyNumberFormat="1">
      <alignment horizontal="center"/>
    </xf>
    <xf borderId="0" fillId="0" fontId="10" numFmtId="0" xfId="0" applyFont="1"/>
    <xf borderId="6" fillId="0" fontId="8" numFmtId="164" xfId="0" applyAlignment="1" applyBorder="1" applyFont="1" applyNumberFormat="1">
      <alignment horizontal="center"/>
    </xf>
    <xf borderId="2" fillId="0" fontId="8" numFmtId="164" xfId="0" applyAlignment="1" applyBorder="1" applyFont="1" applyNumberFormat="1">
      <alignment horizontal="right"/>
    </xf>
    <xf borderId="3" fillId="0" fontId="8" numFmtId="0" xfId="0" applyAlignment="1" applyBorder="1" applyFont="1">
      <alignment horizontal="center" shrinkToFit="0" wrapText="1"/>
    </xf>
    <xf borderId="6" fillId="0" fontId="8" numFmtId="3" xfId="0" applyAlignment="1" applyBorder="1" applyFont="1" applyNumberFormat="1">
      <alignment horizontal="center" shrinkToFit="0" wrapText="1"/>
    </xf>
    <xf borderId="7" fillId="0" fontId="8" numFmtId="10" xfId="0" applyAlignment="1" applyBorder="1" applyFont="1" applyNumberFormat="1">
      <alignment horizontal="center" shrinkToFit="0" wrapText="1"/>
    </xf>
    <xf borderId="2" fillId="0" fontId="8" numFmtId="1" xfId="0" applyAlignment="1" applyBorder="1" applyFont="1" applyNumberFormat="1">
      <alignment horizontal="right"/>
    </xf>
    <xf borderId="0" fillId="0" fontId="8" numFmtId="10" xfId="0" applyFont="1" applyNumberFormat="1"/>
    <xf borderId="7" fillId="0" fontId="8" numFmtId="3" xfId="0" applyAlignment="1" applyBorder="1" applyFont="1" applyNumberFormat="1">
      <alignment horizontal="center" shrinkToFit="0" wrapText="1"/>
    </xf>
    <xf borderId="0" fillId="0" fontId="8" numFmtId="0" xfId="0" applyAlignment="1" applyFont="1">
      <alignment horizontal="center"/>
    </xf>
    <xf borderId="2" fillId="0" fontId="8" numFmtId="10" xfId="0" applyAlignment="1" applyBorder="1" applyFont="1" applyNumberFormat="1">
      <alignment horizontal="right"/>
    </xf>
    <xf borderId="2" fillId="0" fontId="8" numFmtId="49" xfId="0" applyBorder="1" applyFont="1" applyNumberFormat="1"/>
    <xf borderId="0" fillId="0" fontId="8" numFmtId="49" xfId="0" applyFont="1" applyNumberFormat="1"/>
    <xf borderId="0" fillId="0" fontId="8" numFmtId="0" xfId="0" applyAlignment="1" applyFont="1">
      <alignment horizontal="left" readingOrder="0" vertical="top"/>
    </xf>
    <xf borderId="0" fillId="0" fontId="9" numFmtId="0" xfId="0" applyAlignment="1" applyFont="1">
      <alignment horizontal="left" vertical="top"/>
    </xf>
    <xf borderId="2" fillId="0" fontId="9" numFmtId="0" xfId="0" applyAlignment="1" applyBorder="1" applyFont="1">
      <alignment horizontal="left" vertical="top"/>
    </xf>
    <xf borderId="2" fillId="0" fontId="9" numFmtId="10" xfId="0" applyAlignment="1" applyBorder="1" applyFont="1" applyNumberFormat="1">
      <alignment horizontal="right"/>
    </xf>
    <xf borderId="0" fillId="0" fontId="8" numFmtId="3" xfId="0" applyFont="1" applyNumberFormat="1"/>
    <xf borderId="0" fillId="0" fontId="9" numFmtId="170" xfId="0" applyFont="1" applyNumberFormat="1"/>
    <xf borderId="0" fillId="0" fontId="9" numFmtId="10" xfId="0" applyAlignment="1" applyFont="1" applyNumberFormat="1">
      <alignment horizontal="right"/>
    </xf>
    <xf borderId="2" fillId="0" fontId="9" numFmtId="0" xfId="0" applyAlignment="1" applyBorder="1" applyFont="1">
      <alignment horizontal="right"/>
    </xf>
    <xf borderId="0" fillId="0" fontId="9" numFmtId="0" xfId="0" applyAlignment="1" applyFont="1">
      <alignment horizontal="right"/>
    </xf>
    <xf borderId="10" fillId="0" fontId="9" numFmtId="0" xfId="0" applyAlignment="1" applyBorder="1" applyFont="1">
      <alignment horizontal="left" vertical="top"/>
    </xf>
    <xf borderId="10" fillId="0" fontId="9" numFmtId="0" xfId="0" applyAlignment="1" applyBorder="1" applyFont="1">
      <alignment horizontal="right"/>
    </xf>
    <xf borderId="10" fillId="0" fontId="9" numFmtId="10" xfId="0" applyAlignment="1" applyBorder="1" applyFont="1" applyNumberFormat="1">
      <alignment horizontal="right"/>
    </xf>
    <xf borderId="5" fillId="0" fontId="9" numFmtId="10" xfId="0" applyAlignment="1" applyBorder="1" applyFont="1" applyNumberFormat="1">
      <alignment horizontal="right"/>
    </xf>
    <xf borderId="0" fillId="0" fontId="8" numFmtId="171" xfId="0" applyAlignment="1" applyFont="1" applyNumberFormat="1">
      <alignment horizontal="right"/>
    </xf>
    <xf borderId="0" fillId="0" fontId="8" numFmtId="168" xfId="0" applyAlignment="1" applyFont="1" applyNumberFormat="1">
      <alignment horizontal="right"/>
    </xf>
    <xf borderId="0" fillId="0" fontId="9" numFmtId="49" xfId="0" applyAlignment="1" applyFont="1" applyNumberFormat="1">
      <alignment horizontal="right"/>
    </xf>
    <xf borderId="0" fillId="0" fontId="8" numFmtId="49" xfId="0" applyAlignment="1" applyFont="1" applyNumberFormat="1">
      <alignment horizontal="right"/>
    </xf>
    <xf borderId="0" fillId="0" fontId="9" numFmtId="168" xfId="0" applyAlignment="1" applyFont="1" applyNumberFormat="1">
      <alignment horizontal="right"/>
    </xf>
    <xf borderId="6" fillId="0" fontId="8" numFmtId="164" xfId="0" applyAlignment="1" applyBorder="1" applyFont="1" applyNumberFormat="1">
      <alignment horizontal="right"/>
    </xf>
    <xf borderId="2" fillId="0" fontId="8" numFmtId="10" xfId="0" applyAlignment="1" applyBorder="1" applyFont="1" applyNumberFormat="1">
      <alignment horizontal="center" shrinkToFit="0" wrapText="1"/>
    </xf>
    <xf borderId="2" fillId="0" fontId="12" numFmtId="3" xfId="0" applyAlignment="1" applyBorder="1" applyFont="1" applyNumberFormat="1">
      <alignment horizontal="right"/>
    </xf>
    <xf borderId="3" fillId="0" fontId="9" numFmtId="0" xfId="0" applyAlignment="1" applyBorder="1" applyFont="1">
      <alignment horizontal="center" vertical="top"/>
    </xf>
    <xf borderId="2" fillId="0" fontId="8" numFmtId="167" xfId="0" applyAlignment="1" applyBorder="1" applyFont="1" applyNumberFormat="1">
      <alignment horizontal="center"/>
    </xf>
    <xf borderId="0" fillId="0" fontId="8" numFmtId="0" xfId="0" applyAlignment="1" applyFont="1">
      <alignment shrinkToFit="0" wrapText="1"/>
    </xf>
    <xf borderId="2" fillId="0" fontId="13" numFmtId="0" xfId="0" applyAlignment="1" applyBorder="1" applyFont="1">
      <alignment horizontal="center" vertical="top"/>
    </xf>
    <xf borderId="6" fillId="0" fontId="8" numFmtId="167" xfId="0" applyAlignment="1" applyBorder="1" applyFont="1" applyNumberFormat="1">
      <alignment horizontal="center"/>
    </xf>
    <xf borderId="7" fillId="0" fontId="8" numFmtId="167" xfId="0" applyAlignment="1" applyBorder="1" applyFont="1" applyNumberFormat="1">
      <alignment horizontal="center"/>
    </xf>
    <xf borderId="0" fillId="0" fontId="12" numFmtId="0" xfId="0" applyAlignment="1" applyFont="1">
      <alignment horizontal="right"/>
    </xf>
    <xf borderId="6" fillId="0" fontId="8" numFmtId="167" xfId="0" applyAlignment="1" applyBorder="1" applyFont="1" applyNumberFormat="1">
      <alignment horizontal="center" shrinkToFit="0" wrapText="1"/>
    </xf>
    <xf borderId="7" fillId="0" fontId="8" numFmtId="167" xfId="0" applyAlignment="1" applyBorder="1" applyFont="1" applyNumberFormat="1">
      <alignment horizontal="center" shrinkToFit="0" wrapText="1"/>
    </xf>
    <xf borderId="0" fillId="0" fontId="14" numFmtId="49" xfId="0" applyAlignment="1" applyFont="1" applyNumberFormat="1">
      <alignment vertical="top"/>
    </xf>
    <xf borderId="12" fillId="4" fontId="14" numFmtId="49" xfId="0" applyAlignment="1" applyBorder="1" applyFill="1" applyFont="1" applyNumberFormat="1">
      <alignment vertical="top"/>
    </xf>
    <xf borderId="0" fillId="0" fontId="15" numFmtId="0" xfId="0" applyAlignment="1" applyFont="1">
      <alignment horizontal="right"/>
    </xf>
    <xf borderId="0" fillId="0" fontId="16" numFmtId="169" xfId="0" applyAlignment="1" applyFont="1" applyNumberFormat="1">
      <alignment horizontal="right"/>
    </xf>
    <xf borderId="0" fillId="0" fontId="14" numFmtId="0" xfId="0" applyAlignment="1" applyFont="1">
      <alignment vertical="top"/>
    </xf>
    <xf borderId="12" fillId="4" fontId="14" numFmtId="0" xfId="0" applyAlignment="1" applyBorder="1" applyFont="1">
      <alignment vertical="top"/>
    </xf>
    <xf borderId="0" fillId="0" fontId="17" numFmtId="0" xfId="0" applyAlignment="1" applyFont="1">
      <alignment vertical="top"/>
    </xf>
    <xf borderId="12" fillId="4" fontId="18" numFmtId="0" xfId="0" applyBorder="1" applyFont="1"/>
    <xf borderId="0" fillId="0" fontId="17" numFmtId="49" xfId="0" applyAlignment="1" applyFont="1" applyNumberFormat="1">
      <alignment vertical="top"/>
    </xf>
    <xf borderId="0" fillId="0" fontId="12" numFmtId="3" xfId="0" applyAlignment="1" applyFont="1" applyNumberFormat="1">
      <alignment horizontal="right"/>
    </xf>
    <xf borderId="0" fillId="0" fontId="9" numFmtId="0" xfId="0" applyAlignment="1" applyFont="1">
      <alignment readingOrder="0"/>
    </xf>
    <xf borderId="0" fillId="0" fontId="8" numFmtId="0" xfId="0" applyAlignment="1" applyFont="1">
      <alignment readingOrder="0"/>
    </xf>
    <xf borderId="0" fillId="0" fontId="11" numFmtId="0" xfId="0" applyFont="1"/>
    <xf borderId="8" fillId="0" fontId="8" numFmtId="0" xfId="0" applyAlignment="1" applyBorder="1" applyFont="1">
      <alignment horizontal="right"/>
    </xf>
    <xf borderId="2" fillId="0" fontId="9" numFmtId="0" xfId="0" applyAlignment="1" applyBorder="1" applyFont="1">
      <alignment horizontal="right" shrinkToFit="0" vertical="bottom" wrapText="0"/>
    </xf>
    <xf borderId="2" fillId="0" fontId="8" numFmtId="0" xfId="0" applyAlignment="1" applyBorder="1" applyFont="1">
      <alignment horizontal="right"/>
    </xf>
    <xf borderId="0" fillId="0" fontId="19" numFmtId="0" xfId="0" applyAlignment="1" applyFont="1">
      <alignment horizontal="right"/>
    </xf>
    <xf borderId="2" fillId="0" fontId="8" numFmtId="2" xfId="0" applyAlignment="1" applyBorder="1" applyFont="1" applyNumberFormat="1">
      <alignment horizontal="right"/>
    </xf>
    <xf borderId="0" fillId="0" fontId="20" numFmtId="2" xfId="0" applyFont="1" applyNumberFormat="1"/>
    <xf borderId="13" fillId="0" fontId="11" numFmtId="0" xfId="0" applyAlignment="1" applyBorder="1" applyFont="1">
      <alignment vertical="top"/>
    </xf>
    <xf borderId="14" fillId="0" fontId="9" numFmtId="0" xfId="0" applyAlignment="1" applyBorder="1" applyFont="1">
      <alignment horizontal="left" vertical="top"/>
    </xf>
    <xf borderId="5" fillId="0" fontId="9" numFmtId="0" xfId="0" applyAlignment="1" applyBorder="1" applyFont="1">
      <alignment horizontal="right"/>
    </xf>
    <xf borderId="2" fillId="0" fontId="21" numFmtId="0" xfId="0" applyAlignment="1" applyBorder="1" applyFont="1">
      <alignment horizontal="left" vertical="top"/>
    </xf>
    <xf borderId="2" fillId="0" fontId="21" numFmtId="0" xfId="0" applyAlignment="1" applyBorder="1" applyFont="1">
      <alignment horizontal="right"/>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22" Type="http://customschemas.google.com/relationships/workbookmetadata" Target="metadata"/><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2" max="2" width="24.0"/>
    <col customWidth="1" min="3" max="3" width="33.25"/>
  </cols>
  <sheetData>
    <row r="1">
      <c r="A1" s="1" t="s">
        <v>0</v>
      </c>
      <c r="B1" s="2"/>
      <c r="C1" s="2"/>
      <c r="D1" s="2"/>
      <c r="E1" s="2"/>
      <c r="F1" s="3"/>
      <c r="G1" s="3"/>
      <c r="H1" s="3"/>
      <c r="I1" s="3"/>
      <c r="J1" s="3"/>
      <c r="K1" s="3"/>
      <c r="L1" s="3"/>
      <c r="M1" s="3"/>
      <c r="N1" s="3"/>
      <c r="O1" s="3"/>
      <c r="P1" s="3"/>
      <c r="Q1" s="3"/>
      <c r="R1" s="3"/>
      <c r="S1" s="3"/>
      <c r="T1" s="3"/>
      <c r="U1" s="3"/>
      <c r="V1" s="3"/>
      <c r="W1" s="3"/>
      <c r="X1" s="3"/>
      <c r="Y1" s="3"/>
      <c r="Z1" s="3"/>
      <c r="AA1" s="3"/>
    </row>
    <row r="2">
      <c r="A2" s="4" t="s">
        <v>1</v>
      </c>
      <c r="B2" s="5" t="s">
        <v>2</v>
      </c>
      <c r="C2" s="6"/>
      <c r="D2" s="6"/>
      <c r="E2" s="7"/>
      <c r="F2" s="3"/>
      <c r="G2" s="3"/>
      <c r="H2" s="3"/>
      <c r="I2" s="3"/>
      <c r="J2" s="3"/>
      <c r="K2" s="3"/>
      <c r="L2" s="3"/>
      <c r="M2" s="3"/>
      <c r="N2" s="3"/>
      <c r="O2" s="3"/>
      <c r="P2" s="3"/>
      <c r="Q2" s="3"/>
      <c r="R2" s="3"/>
      <c r="S2" s="3"/>
      <c r="T2" s="3"/>
      <c r="U2" s="3"/>
      <c r="V2" s="3"/>
      <c r="W2" s="3"/>
      <c r="X2" s="3"/>
      <c r="Y2" s="3"/>
      <c r="Z2" s="3"/>
      <c r="AA2" s="3"/>
    </row>
    <row r="3">
      <c r="A3" s="8" t="s">
        <v>3</v>
      </c>
      <c r="B3" s="9" t="s">
        <v>4</v>
      </c>
      <c r="C3" s="2"/>
      <c r="D3" s="2"/>
      <c r="E3" s="10"/>
      <c r="F3" s="3"/>
      <c r="G3" s="3"/>
      <c r="H3" s="3"/>
      <c r="I3" s="3"/>
      <c r="J3" s="3"/>
      <c r="K3" s="3"/>
      <c r="L3" s="3"/>
      <c r="M3" s="3"/>
      <c r="N3" s="3"/>
      <c r="O3" s="3"/>
      <c r="P3" s="3"/>
      <c r="Q3" s="3"/>
      <c r="R3" s="3"/>
      <c r="S3" s="3"/>
      <c r="T3" s="3"/>
      <c r="U3" s="3"/>
      <c r="V3" s="3"/>
      <c r="W3" s="3"/>
      <c r="X3" s="3"/>
      <c r="Y3" s="3"/>
      <c r="Z3" s="3"/>
      <c r="AA3" s="3"/>
    </row>
    <row r="4">
      <c r="A4" s="8" t="s">
        <v>5</v>
      </c>
      <c r="B4" s="9" t="s">
        <v>6</v>
      </c>
      <c r="C4" s="2"/>
      <c r="D4" s="2"/>
      <c r="E4" s="10"/>
      <c r="F4" s="3"/>
      <c r="G4" s="3"/>
      <c r="H4" s="3"/>
      <c r="I4" s="3"/>
      <c r="J4" s="3"/>
      <c r="K4" s="3"/>
      <c r="L4" s="3"/>
      <c r="M4" s="3"/>
      <c r="N4" s="3"/>
      <c r="O4" s="3"/>
      <c r="P4" s="3"/>
      <c r="Q4" s="3"/>
      <c r="R4" s="3"/>
      <c r="S4" s="3"/>
      <c r="T4" s="3"/>
      <c r="U4" s="3"/>
      <c r="V4" s="3"/>
      <c r="W4" s="3"/>
      <c r="X4" s="3"/>
      <c r="Y4" s="3"/>
      <c r="Z4" s="3"/>
      <c r="AA4" s="3"/>
    </row>
    <row r="5">
      <c r="A5" s="3"/>
      <c r="B5" s="3"/>
      <c r="C5" s="3"/>
      <c r="D5" s="3"/>
      <c r="E5" s="3"/>
      <c r="F5" s="3"/>
      <c r="G5" s="3"/>
      <c r="H5" s="3"/>
      <c r="I5" s="3"/>
      <c r="J5" s="3"/>
      <c r="K5" s="3"/>
      <c r="L5" s="3"/>
      <c r="M5" s="3"/>
      <c r="N5" s="3"/>
      <c r="O5" s="3"/>
      <c r="P5" s="3"/>
      <c r="Q5" s="3"/>
      <c r="R5" s="3"/>
      <c r="S5" s="3"/>
      <c r="T5" s="3"/>
      <c r="U5" s="3"/>
      <c r="V5" s="3"/>
      <c r="W5" s="3"/>
      <c r="X5" s="3"/>
      <c r="Y5" s="3"/>
      <c r="Z5" s="3"/>
      <c r="AA5" s="3"/>
    </row>
    <row r="6">
      <c r="A6" s="11" t="s">
        <v>7</v>
      </c>
      <c r="F6" s="3"/>
      <c r="G6" s="3"/>
      <c r="H6" s="3"/>
      <c r="I6" s="3"/>
      <c r="J6" s="3"/>
      <c r="K6" s="3"/>
      <c r="L6" s="3"/>
      <c r="M6" s="3"/>
      <c r="N6" s="3"/>
      <c r="O6" s="3"/>
      <c r="P6" s="3"/>
      <c r="Q6" s="3"/>
      <c r="R6" s="3"/>
      <c r="S6" s="3"/>
      <c r="T6" s="3"/>
      <c r="U6" s="3"/>
      <c r="V6" s="3"/>
      <c r="W6" s="3"/>
      <c r="X6" s="3"/>
      <c r="Y6" s="3"/>
      <c r="Z6" s="3"/>
      <c r="AA6" s="3"/>
    </row>
    <row r="7">
      <c r="A7" s="12" t="s">
        <v>8</v>
      </c>
      <c r="B7" s="13" t="s">
        <v>9</v>
      </c>
      <c r="C7" s="13" t="s">
        <v>10</v>
      </c>
      <c r="D7" s="13" t="s">
        <v>11</v>
      </c>
      <c r="E7" s="13" t="s">
        <v>12</v>
      </c>
      <c r="F7" s="3"/>
      <c r="G7" s="3"/>
      <c r="H7" s="3"/>
      <c r="I7" s="3"/>
      <c r="J7" s="3"/>
      <c r="K7" s="3"/>
      <c r="L7" s="3"/>
      <c r="M7" s="3"/>
      <c r="N7" s="3"/>
      <c r="O7" s="3"/>
      <c r="P7" s="3"/>
      <c r="Q7" s="3"/>
      <c r="R7" s="3"/>
      <c r="S7" s="3"/>
      <c r="T7" s="3"/>
      <c r="U7" s="3"/>
      <c r="V7" s="3"/>
      <c r="W7" s="3"/>
      <c r="X7" s="3"/>
      <c r="Y7" s="3"/>
      <c r="Z7" s="3"/>
      <c r="AA7" s="3"/>
    </row>
    <row r="8">
      <c r="A8" s="14">
        <v>1.0</v>
      </c>
      <c r="B8" s="15" t="s">
        <v>13</v>
      </c>
      <c r="C8" s="16" t="s">
        <v>14</v>
      </c>
      <c r="D8" s="17" t="s">
        <v>15</v>
      </c>
      <c r="E8" s="18" t="s">
        <v>16</v>
      </c>
      <c r="F8" s="3"/>
      <c r="G8" s="3"/>
      <c r="H8" s="3"/>
      <c r="I8" s="3"/>
      <c r="J8" s="3"/>
      <c r="K8" s="3"/>
      <c r="L8" s="3"/>
      <c r="M8" s="3"/>
      <c r="N8" s="3"/>
      <c r="O8" s="3"/>
      <c r="P8" s="3"/>
      <c r="Q8" s="3"/>
      <c r="R8" s="3"/>
      <c r="S8" s="3"/>
      <c r="T8" s="3"/>
      <c r="U8" s="3"/>
      <c r="V8" s="3"/>
      <c r="W8" s="3"/>
      <c r="X8" s="3"/>
      <c r="Y8" s="3"/>
      <c r="Z8" s="3"/>
      <c r="AA8" s="3"/>
    </row>
    <row r="9">
      <c r="A9" s="14">
        <v>2.0</v>
      </c>
      <c r="B9" s="19"/>
      <c r="C9" s="16" t="s">
        <v>17</v>
      </c>
      <c r="D9" s="17" t="s">
        <v>18</v>
      </c>
      <c r="E9" s="18" t="s">
        <v>16</v>
      </c>
      <c r="F9" s="3"/>
      <c r="G9" s="3"/>
      <c r="H9" s="3"/>
      <c r="I9" s="3"/>
      <c r="J9" s="3"/>
      <c r="K9" s="3"/>
      <c r="L9" s="3"/>
      <c r="M9" s="3"/>
      <c r="N9" s="3"/>
      <c r="O9" s="3"/>
      <c r="P9" s="3"/>
      <c r="Q9" s="3"/>
      <c r="R9" s="3"/>
      <c r="S9" s="3"/>
      <c r="T9" s="3"/>
      <c r="U9" s="3"/>
      <c r="V9" s="3"/>
      <c r="W9" s="3"/>
      <c r="X9" s="3"/>
      <c r="Y9" s="3"/>
      <c r="Z9" s="3"/>
      <c r="AA9" s="3"/>
    </row>
    <row r="10">
      <c r="A10" s="14">
        <v>3.0</v>
      </c>
      <c r="B10" s="19"/>
      <c r="C10" s="20" t="s">
        <v>19</v>
      </c>
      <c r="D10" s="18" t="s">
        <v>20</v>
      </c>
      <c r="E10" s="18" t="s">
        <v>16</v>
      </c>
      <c r="F10" s="3"/>
      <c r="G10" s="3"/>
      <c r="H10" s="3"/>
      <c r="I10" s="3"/>
      <c r="J10" s="3"/>
      <c r="K10" s="3"/>
      <c r="L10" s="3"/>
      <c r="M10" s="3"/>
      <c r="N10" s="3"/>
      <c r="O10" s="3"/>
      <c r="P10" s="3"/>
      <c r="Q10" s="3"/>
      <c r="R10" s="3"/>
      <c r="S10" s="3"/>
      <c r="T10" s="3"/>
      <c r="U10" s="3"/>
      <c r="V10" s="3"/>
      <c r="W10" s="3"/>
      <c r="X10" s="3"/>
      <c r="Y10" s="3"/>
      <c r="Z10" s="3"/>
      <c r="AA10" s="3"/>
    </row>
    <row r="11">
      <c r="A11" s="14">
        <v>4.0</v>
      </c>
      <c r="B11" s="19"/>
      <c r="C11" s="16" t="s">
        <v>21</v>
      </c>
      <c r="D11" s="18" t="s">
        <v>20</v>
      </c>
      <c r="E11" s="18" t="s">
        <v>16</v>
      </c>
      <c r="F11" s="3"/>
      <c r="G11" s="3"/>
      <c r="H11" s="3"/>
      <c r="I11" s="3"/>
      <c r="J11" s="3"/>
      <c r="K11" s="3"/>
      <c r="L11" s="3"/>
      <c r="M11" s="3"/>
      <c r="N11" s="3"/>
      <c r="O11" s="3"/>
      <c r="P11" s="3"/>
      <c r="Q11" s="3"/>
      <c r="R11" s="3"/>
      <c r="S11" s="3"/>
      <c r="T11" s="3"/>
      <c r="U11" s="3"/>
      <c r="V11" s="3"/>
      <c r="W11" s="3"/>
      <c r="X11" s="3"/>
      <c r="Y11" s="3"/>
      <c r="Z11" s="3"/>
      <c r="AA11" s="3"/>
    </row>
    <row r="12">
      <c r="A12" s="21">
        <v>5.0</v>
      </c>
      <c r="B12" s="19"/>
      <c r="C12" s="20" t="s">
        <v>22</v>
      </c>
      <c r="D12" s="22">
        <v>2024.0</v>
      </c>
      <c r="E12" s="18" t="s">
        <v>16</v>
      </c>
      <c r="F12" s="3"/>
      <c r="G12" s="3"/>
      <c r="H12" s="3"/>
      <c r="I12" s="3"/>
      <c r="J12" s="3"/>
      <c r="K12" s="3"/>
      <c r="L12" s="3"/>
      <c r="M12" s="3"/>
      <c r="N12" s="3"/>
      <c r="O12" s="3"/>
      <c r="P12" s="3"/>
      <c r="Q12" s="3"/>
      <c r="R12" s="3"/>
      <c r="S12" s="3"/>
      <c r="T12" s="3"/>
      <c r="U12" s="3"/>
      <c r="V12" s="3"/>
      <c r="W12" s="3"/>
      <c r="X12" s="3"/>
      <c r="Y12" s="3"/>
      <c r="Z12" s="3"/>
      <c r="AA12" s="3"/>
    </row>
    <row r="13">
      <c r="A13" s="21">
        <v>6.0</v>
      </c>
      <c r="B13" s="19"/>
      <c r="C13" s="16" t="s">
        <v>23</v>
      </c>
      <c r="D13" s="18" t="s">
        <v>20</v>
      </c>
      <c r="E13" s="18" t="s">
        <v>16</v>
      </c>
      <c r="F13" s="3"/>
      <c r="G13" s="3"/>
      <c r="H13" s="3"/>
      <c r="I13" s="3"/>
      <c r="J13" s="3"/>
      <c r="K13" s="3"/>
      <c r="L13" s="3"/>
      <c r="M13" s="3"/>
      <c r="N13" s="3"/>
      <c r="O13" s="3"/>
      <c r="P13" s="3"/>
      <c r="Q13" s="3"/>
      <c r="R13" s="3"/>
      <c r="S13" s="3"/>
      <c r="T13" s="3"/>
      <c r="U13" s="3"/>
      <c r="V13" s="3"/>
      <c r="W13" s="3"/>
      <c r="X13" s="3"/>
      <c r="Y13" s="3"/>
      <c r="Z13" s="3"/>
      <c r="AA13" s="3"/>
    </row>
    <row r="14">
      <c r="A14" s="21">
        <v>7.0</v>
      </c>
      <c r="B14" s="10"/>
      <c r="C14" s="16" t="s">
        <v>24</v>
      </c>
      <c r="D14" s="17" t="s">
        <v>25</v>
      </c>
      <c r="E14" s="18" t="s">
        <v>16</v>
      </c>
      <c r="F14" s="3"/>
      <c r="G14" s="3"/>
      <c r="H14" s="3"/>
      <c r="I14" s="3"/>
      <c r="J14" s="3"/>
      <c r="K14" s="3"/>
      <c r="L14" s="3"/>
      <c r="M14" s="3"/>
      <c r="N14" s="3"/>
      <c r="O14" s="3"/>
      <c r="P14" s="3"/>
      <c r="Q14" s="3"/>
      <c r="R14" s="3"/>
      <c r="S14" s="3"/>
      <c r="T14" s="3"/>
      <c r="U14" s="3"/>
      <c r="V14" s="3"/>
      <c r="W14" s="3"/>
      <c r="X14" s="3"/>
      <c r="Y14" s="3"/>
      <c r="Z14" s="3"/>
      <c r="AA14" s="3"/>
    </row>
    <row r="15">
      <c r="A15" s="21">
        <v>8.0</v>
      </c>
      <c r="B15" s="15" t="s">
        <v>26</v>
      </c>
      <c r="C15" s="16" t="s">
        <v>27</v>
      </c>
      <c r="D15" s="17" t="s">
        <v>28</v>
      </c>
      <c r="E15" s="18" t="s">
        <v>16</v>
      </c>
      <c r="F15" s="3"/>
      <c r="G15" s="3"/>
      <c r="H15" s="3"/>
      <c r="I15" s="3"/>
      <c r="J15" s="3"/>
      <c r="K15" s="3"/>
      <c r="L15" s="3"/>
      <c r="M15" s="3"/>
      <c r="N15" s="3"/>
      <c r="O15" s="3"/>
      <c r="P15" s="3"/>
      <c r="Q15" s="3"/>
      <c r="R15" s="3"/>
      <c r="S15" s="3"/>
      <c r="T15" s="3"/>
      <c r="U15" s="3"/>
      <c r="V15" s="3"/>
      <c r="W15" s="3"/>
      <c r="X15" s="3"/>
      <c r="Y15" s="3"/>
      <c r="Z15" s="3"/>
      <c r="AA15" s="3"/>
    </row>
    <row r="16">
      <c r="A16" s="21">
        <v>9.0</v>
      </c>
      <c r="B16" s="19"/>
      <c r="C16" s="16" t="s">
        <v>29</v>
      </c>
      <c r="D16" s="17" t="s">
        <v>28</v>
      </c>
      <c r="E16" s="18" t="s">
        <v>16</v>
      </c>
      <c r="F16" s="3"/>
      <c r="G16" s="3"/>
      <c r="H16" s="3"/>
      <c r="I16" s="3"/>
      <c r="J16" s="3"/>
      <c r="K16" s="3"/>
      <c r="L16" s="3"/>
      <c r="M16" s="3"/>
      <c r="N16" s="3"/>
      <c r="O16" s="3"/>
      <c r="P16" s="3"/>
      <c r="Q16" s="3"/>
      <c r="R16" s="3"/>
      <c r="S16" s="3"/>
      <c r="T16" s="3"/>
      <c r="U16" s="3"/>
      <c r="V16" s="3"/>
      <c r="W16" s="3"/>
      <c r="X16" s="3"/>
      <c r="Y16" s="3"/>
      <c r="Z16" s="3"/>
      <c r="AA16" s="3"/>
    </row>
    <row r="17">
      <c r="A17" s="21">
        <v>10.0</v>
      </c>
      <c r="B17" s="19"/>
      <c r="C17" s="20" t="s">
        <v>30</v>
      </c>
      <c r="D17" s="17" t="s">
        <v>31</v>
      </c>
      <c r="E17" s="18" t="s">
        <v>16</v>
      </c>
      <c r="F17" s="3"/>
      <c r="G17" s="3"/>
      <c r="H17" s="3"/>
      <c r="I17" s="3"/>
      <c r="J17" s="3"/>
      <c r="K17" s="3"/>
      <c r="L17" s="3"/>
      <c r="M17" s="3"/>
      <c r="N17" s="3"/>
      <c r="O17" s="3"/>
      <c r="P17" s="3"/>
      <c r="Q17" s="3"/>
      <c r="R17" s="3"/>
      <c r="S17" s="3"/>
      <c r="T17" s="3"/>
      <c r="U17" s="3"/>
      <c r="V17" s="3"/>
      <c r="W17" s="3"/>
      <c r="X17" s="3"/>
      <c r="Y17" s="3"/>
      <c r="Z17" s="3"/>
      <c r="AA17" s="3"/>
    </row>
    <row r="18">
      <c r="A18" s="21">
        <v>11.0</v>
      </c>
      <c r="B18" s="19"/>
      <c r="C18" s="16" t="s">
        <v>32</v>
      </c>
      <c r="D18" s="18" t="s">
        <v>33</v>
      </c>
      <c r="E18" s="18" t="s">
        <v>16</v>
      </c>
      <c r="F18" s="3"/>
      <c r="G18" s="3"/>
      <c r="H18" s="3"/>
      <c r="I18" s="3"/>
      <c r="J18" s="3"/>
      <c r="K18" s="3"/>
      <c r="L18" s="3"/>
      <c r="M18" s="3"/>
      <c r="N18" s="3"/>
      <c r="O18" s="3"/>
      <c r="P18" s="3"/>
      <c r="Q18" s="3"/>
      <c r="R18" s="3"/>
      <c r="S18" s="3"/>
      <c r="T18" s="3"/>
      <c r="U18" s="3"/>
      <c r="V18" s="3"/>
      <c r="W18" s="3"/>
      <c r="X18" s="3"/>
      <c r="Y18" s="3"/>
      <c r="Z18" s="3"/>
      <c r="AA18" s="3"/>
    </row>
    <row r="19">
      <c r="A19" s="21">
        <v>12.0</v>
      </c>
      <c r="B19" s="19"/>
      <c r="C19" s="16" t="s">
        <v>34</v>
      </c>
      <c r="D19" s="17" t="s">
        <v>28</v>
      </c>
      <c r="E19" s="18" t="s">
        <v>16</v>
      </c>
      <c r="F19" s="3"/>
      <c r="G19" s="3"/>
      <c r="H19" s="3"/>
      <c r="I19" s="3"/>
      <c r="J19" s="3"/>
      <c r="K19" s="3"/>
      <c r="L19" s="3"/>
      <c r="M19" s="3"/>
      <c r="N19" s="3"/>
      <c r="O19" s="3"/>
      <c r="P19" s="3"/>
      <c r="Q19" s="3"/>
      <c r="R19" s="3"/>
      <c r="S19" s="3"/>
      <c r="T19" s="3"/>
      <c r="U19" s="3"/>
      <c r="V19" s="3"/>
      <c r="W19" s="3"/>
      <c r="X19" s="3"/>
      <c r="Y19" s="3"/>
      <c r="Z19" s="3"/>
      <c r="AA19" s="3"/>
    </row>
    <row r="20">
      <c r="A20" s="21">
        <v>13.0</v>
      </c>
      <c r="B20" s="19"/>
      <c r="C20" s="16" t="s">
        <v>35</v>
      </c>
      <c r="D20" s="17" t="s">
        <v>36</v>
      </c>
      <c r="E20" s="18" t="s">
        <v>16</v>
      </c>
      <c r="F20" s="3"/>
      <c r="G20" s="3"/>
      <c r="H20" s="3"/>
      <c r="I20" s="3"/>
      <c r="J20" s="3"/>
      <c r="K20" s="3"/>
      <c r="L20" s="3"/>
      <c r="M20" s="3"/>
      <c r="N20" s="3"/>
      <c r="O20" s="3"/>
      <c r="P20" s="3"/>
      <c r="Q20" s="3"/>
      <c r="R20" s="3"/>
      <c r="S20" s="3"/>
      <c r="T20" s="3"/>
      <c r="U20" s="3"/>
      <c r="V20" s="3"/>
      <c r="W20" s="3"/>
      <c r="X20" s="3"/>
      <c r="Y20" s="3"/>
      <c r="Z20" s="3"/>
      <c r="AA20" s="3"/>
    </row>
    <row r="21">
      <c r="A21" s="21">
        <v>14.0</v>
      </c>
      <c r="B21" s="19"/>
      <c r="C21" s="16" t="s">
        <v>37</v>
      </c>
      <c r="D21" s="17" t="s">
        <v>15</v>
      </c>
      <c r="E21" s="18" t="s">
        <v>16</v>
      </c>
      <c r="F21" s="3"/>
      <c r="G21" s="3"/>
      <c r="H21" s="3"/>
      <c r="I21" s="3"/>
      <c r="J21" s="3"/>
      <c r="K21" s="3"/>
      <c r="L21" s="3"/>
      <c r="M21" s="3"/>
      <c r="N21" s="3"/>
      <c r="O21" s="3"/>
      <c r="P21" s="3"/>
      <c r="Q21" s="3"/>
      <c r="R21" s="3"/>
      <c r="S21" s="3"/>
      <c r="T21" s="3"/>
      <c r="U21" s="3"/>
      <c r="V21" s="3"/>
      <c r="W21" s="3"/>
      <c r="X21" s="3"/>
      <c r="Y21" s="3"/>
      <c r="Z21" s="3"/>
      <c r="AA21" s="3"/>
    </row>
    <row r="22">
      <c r="A22" s="21">
        <v>15.0</v>
      </c>
      <c r="B22" s="19"/>
      <c r="C22" s="16" t="s">
        <v>38</v>
      </c>
      <c r="D22" s="17" t="s">
        <v>15</v>
      </c>
      <c r="E22" s="18" t="s">
        <v>16</v>
      </c>
      <c r="F22" s="3"/>
      <c r="G22" s="3"/>
      <c r="H22" s="3"/>
      <c r="I22" s="3"/>
      <c r="J22" s="3"/>
      <c r="K22" s="3"/>
      <c r="L22" s="3"/>
      <c r="M22" s="3"/>
      <c r="N22" s="3"/>
      <c r="O22" s="3"/>
      <c r="P22" s="3"/>
      <c r="Q22" s="3"/>
      <c r="R22" s="3"/>
      <c r="S22" s="3"/>
      <c r="T22" s="3"/>
      <c r="U22" s="3"/>
      <c r="V22" s="3"/>
      <c r="W22" s="3"/>
      <c r="X22" s="3"/>
      <c r="Y22" s="3"/>
      <c r="Z22" s="3"/>
      <c r="AA22" s="3"/>
    </row>
    <row r="23">
      <c r="A23" s="21">
        <v>16.0</v>
      </c>
      <c r="B23" s="19"/>
      <c r="C23" s="16" t="s">
        <v>39</v>
      </c>
      <c r="D23" s="17" t="s">
        <v>15</v>
      </c>
      <c r="E23" s="18" t="s">
        <v>16</v>
      </c>
      <c r="F23" s="3"/>
      <c r="G23" s="3"/>
      <c r="H23" s="3"/>
      <c r="I23" s="3"/>
      <c r="J23" s="3"/>
      <c r="K23" s="3"/>
      <c r="L23" s="3"/>
      <c r="M23" s="3"/>
      <c r="N23" s="3"/>
      <c r="O23" s="3"/>
      <c r="P23" s="3"/>
      <c r="Q23" s="3"/>
      <c r="R23" s="3"/>
      <c r="S23" s="3"/>
      <c r="T23" s="3"/>
      <c r="U23" s="3"/>
      <c r="V23" s="3"/>
      <c r="W23" s="3"/>
      <c r="X23" s="3"/>
      <c r="Y23" s="3"/>
      <c r="Z23" s="3"/>
      <c r="AA23" s="3"/>
    </row>
    <row r="24">
      <c r="A24" s="21">
        <v>17.0</v>
      </c>
      <c r="B24" s="10"/>
      <c r="C24" s="16" t="s">
        <v>40</v>
      </c>
      <c r="D24" s="17" t="s">
        <v>15</v>
      </c>
      <c r="E24" s="18" t="s">
        <v>16</v>
      </c>
      <c r="F24" s="3"/>
      <c r="G24" s="3"/>
      <c r="H24" s="3"/>
      <c r="I24" s="3"/>
      <c r="J24" s="3"/>
      <c r="K24" s="3"/>
      <c r="L24" s="3"/>
      <c r="M24" s="3"/>
      <c r="N24" s="3"/>
      <c r="O24" s="3"/>
      <c r="P24" s="3"/>
      <c r="Q24" s="3"/>
      <c r="R24" s="3"/>
      <c r="S24" s="3"/>
      <c r="T24" s="3"/>
      <c r="U24" s="3"/>
      <c r="V24" s="3"/>
      <c r="W24" s="3"/>
      <c r="X24" s="3"/>
      <c r="Y24" s="3"/>
      <c r="Z24" s="3"/>
      <c r="AA24" s="3"/>
    </row>
    <row r="25">
      <c r="A25" s="3"/>
      <c r="B25" s="3"/>
      <c r="C25" s="3"/>
      <c r="D25" s="3"/>
      <c r="E25" s="3"/>
      <c r="F25" s="3"/>
      <c r="G25" s="3"/>
      <c r="H25" s="3"/>
      <c r="I25" s="3"/>
      <c r="J25" s="3"/>
      <c r="K25" s="3"/>
      <c r="L25" s="3"/>
      <c r="M25" s="3"/>
      <c r="N25" s="3"/>
      <c r="O25" s="3"/>
      <c r="P25" s="3"/>
      <c r="Q25" s="3"/>
      <c r="R25" s="3"/>
      <c r="S25" s="3"/>
      <c r="T25" s="3"/>
      <c r="U25" s="3"/>
      <c r="V25" s="3"/>
      <c r="W25" s="3"/>
      <c r="X25" s="3"/>
      <c r="Y25" s="3"/>
      <c r="Z25" s="3"/>
      <c r="AA25" s="3"/>
    </row>
    <row r="26">
      <c r="A26" s="3"/>
      <c r="B26" s="3"/>
      <c r="C26" s="3"/>
      <c r="D26" s="3"/>
      <c r="E26" s="3"/>
      <c r="F26" s="3"/>
      <c r="G26" s="3"/>
      <c r="H26" s="3"/>
      <c r="I26" s="3"/>
      <c r="J26" s="3"/>
      <c r="K26" s="3"/>
      <c r="L26" s="3"/>
      <c r="M26" s="3"/>
      <c r="N26" s="3"/>
      <c r="O26" s="3"/>
      <c r="P26" s="3"/>
      <c r="Q26" s="3"/>
      <c r="R26" s="3"/>
      <c r="S26" s="3"/>
      <c r="T26" s="3"/>
      <c r="U26" s="3"/>
      <c r="V26" s="3"/>
      <c r="W26" s="3"/>
      <c r="X26" s="3"/>
      <c r="Y26" s="3"/>
      <c r="Z26" s="3"/>
      <c r="AA26" s="3"/>
    </row>
    <row r="27">
      <c r="A27" s="3"/>
      <c r="B27" s="3"/>
      <c r="C27" s="3"/>
      <c r="D27" s="3"/>
      <c r="E27" s="3"/>
      <c r="F27" s="3"/>
      <c r="G27" s="3"/>
      <c r="H27" s="3"/>
      <c r="I27" s="3"/>
      <c r="J27" s="3"/>
      <c r="K27" s="3"/>
      <c r="L27" s="3"/>
      <c r="M27" s="3"/>
      <c r="N27" s="3"/>
      <c r="O27" s="3"/>
      <c r="P27" s="3"/>
      <c r="Q27" s="3"/>
      <c r="R27" s="3"/>
      <c r="S27" s="3"/>
      <c r="T27" s="3"/>
      <c r="U27" s="3"/>
      <c r="V27" s="3"/>
      <c r="W27" s="3"/>
      <c r="X27" s="3"/>
      <c r="Y27" s="3"/>
      <c r="Z27" s="3"/>
      <c r="AA27" s="3"/>
    </row>
    <row r="28">
      <c r="A28" s="3"/>
      <c r="B28" s="3"/>
      <c r="C28" s="3"/>
      <c r="D28" s="3"/>
      <c r="E28" s="3"/>
      <c r="F28" s="3"/>
      <c r="G28" s="3"/>
      <c r="H28" s="3"/>
      <c r="I28" s="3"/>
      <c r="J28" s="3"/>
      <c r="K28" s="3"/>
      <c r="L28" s="3"/>
      <c r="M28" s="3"/>
      <c r="N28" s="3"/>
      <c r="O28" s="3"/>
      <c r="P28" s="3"/>
      <c r="Q28" s="3"/>
      <c r="R28" s="3"/>
      <c r="S28" s="3"/>
      <c r="T28" s="3"/>
      <c r="U28" s="3"/>
      <c r="V28" s="3"/>
      <c r="W28" s="3"/>
      <c r="X28" s="3"/>
      <c r="Y28" s="3"/>
      <c r="Z28" s="3"/>
      <c r="AA28" s="3"/>
    </row>
    <row r="29">
      <c r="A29" s="3"/>
      <c r="B29" s="3"/>
      <c r="C29" s="3"/>
      <c r="D29" s="3"/>
      <c r="E29" s="3"/>
      <c r="F29" s="3"/>
      <c r="G29" s="3"/>
      <c r="H29" s="3"/>
      <c r="I29" s="3"/>
      <c r="J29" s="3"/>
      <c r="K29" s="3"/>
      <c r="L29" s="3"/>
      <c r="M29" s="3"/>
      <c r="N29" s="3"/>
      <c r="O29" s="3"/>
      <c r="P29" s="3"/>
      <c r="Q29" s="3"/>
      <c r="R29" s="3"/>
      <c r="S29" s="3"/>
      <c r="T29" s="3"/>
      <c r="U29" s="3"/>
      <c r="V29" s="3"/>
      <c r="W29" s="3"/>
      <c r="X29" s="3"/>
      <c r="Y29" s="3"/>
      <c r="Z29" s="3"/>
      <c r="AA29" s="3"/>
    </row>
    <row r="30">
      <c r="A30" s="3"/>
      <c r="B30" s="3"/>
      <c r="C30" s="3"/>
      <c r="D30" s="3"/>
      <c r="E30" s="3"/>
      <c r="F30" s="3"/>
      <c r="G30" s="3"/>
      <c r="H30" s="3"/>
      <c r="I30" s="3"/>
      <c r="J30" s="3"/>
      <c r="K30" s="3"/>
      <c r="L30" s="3"/>
      <c r="M30" s="3"/>
      <c r="N30" s="3"/>
      <c r="O30" s="3"/>
      <c r="P30" s="3"/>
      <c r="Q30" s="3"/>
      <c r="R30" s="3"/>
      <c r="S30" s="3"/>
      <c r="T30" s="3"/>
      <c r="U30" s="3"/>
      <c r="V30" s="3"/>
      <c r="W30" s="3"/>
      <c r="X30" s="3"/>
      <c r="Y30" s="3"/>
      <c r="Z30" s="3"/>
      <c r="AA30" s="3"/>
    </row>
    <row r="31">
      <c r="A31" s="3"/>
      <c r="B31" s="3"/>
      <c r="C31" s="3"/>
      <c r="D31" s="3"/>
      <c r="E31" s="3"/>
      <c r="F31" s="3"/>
      <c r="G31" s="3"/>
      <c r="H31" s="3"/>
      <c r="I31" s="3"/>
      <c r="J31" s="3"/>
      <c r="K31" s="3"/>
      <c r="L31" s="3"/>
      <c r="M31" s="3"/>
      <c r="N31" s="3"/>
      <c r="O31" s="3"/>
      <c r="P31" s="3"/>
      <c r="Q31" s="3"/>
      <c r="R31" s="3"/>
      <c r="S31" s="3"/>
      <c r="T31" s="3"/>
      <c r="U31" s="3"/>
      <c r="V31" s="3"/>
      <c r="W31" s="3"/>
      <c r="X31" s="3"/>
      <c r="Y31" s="3"/>
      <c r="Z31" s="3"/>
      <c r="AA31" s="3"/>
    </row>
    <row r="32">
      <c r="A32" s="3"/>
      <c r="B32" s="3"/>
      <c r="C32" s="3"/>
      <c r="D32" s="3"/>
      <c r="E32" s="3"/>
      <c r="F32" s="3"/>
      <c r="G32" s="3"/>
      <c r="H32" s="3"/>
      <c r="I32" s="3"/>
      <c r="J32" s="3"/>
      <c r="K32" s="3"/>
      <c r="L32" s="3"/>
      <c r="M32" s="3"/>
      <c r="N32" s="3"/>
      <c r="O32" s="3"/>
      <c r="P32" s="3"/>
      <c r="Q32" s="3"/>
      <c r="R32" s="3"/>
      <c r="S32" s="3"/>
      <c r="T32" s="3"/>
      <c r="U32" s="3"/>
      <c r="V32" s="3"/>
      <c r="W32" s="3"/>
      <c r="X32" s="3"/>
      <c r="Y32" s="3"/>
      <c r="Z32" s="3"/>
      <c r="AA32" s="3"/>
    </row>
    <row r="33">
      <c r="A33" s="3"/>
      <c r="B33" s="3"/>
      <c r="C33" s="3"/>
      <c r="D33" s="3"/>
      <c r="E33" s="3"/>
      <c r="F33" s="3"/>
      <c r="G33" s="3"/>
      <c r="H33" s="3"/>
      <c r="I33" s="3"/>
      <c r="J33" s="3"/>
      <c r="K33" s="3"/>
      <c r="L33" s="3"/>
      <c r="M33" s="3"/>
      <c r="N33" s="3"/>
      <c r="O33" s="3"/>
      <c r="P33" s="3"/>
      <c r="Q33" s="3"/>
      <c r="R33" s="3"/>
      <c r="S33" s="3"/>
      <c r="T33" s="3"/>
      <c r="U33" s="3"/>
      <c r="V33" s="3"/>
      <c r="W33" s="3"/>
      <c r="X33" s="3"/>
      <c r="Y33" s="3"/>
      <c r="Z33" s="3"/>
      <c r="AA33" s="3"/>
    </row>
    <row r="34">
      <c r="A34" s="3"/>
      <c r="B34" s="3"/>
      <c r="C34" s="3"/>
      <c r="D34" s="3"/>
      <c r="E34" s="3"/>
      <c r="F34" s="3"/>
      <c r="G34" s="3"/>
      <c r="H34" s="3"/>
      <c r="I34" s="3"/>
      <c r="J34" s="3"/>
      <c r="K34" s="3"/>
      <c r="L34" s="3"/>
      <c r="M34" s="3"/>
      <c r="N34" s="3"/>
      <c r="O34" s="3"/>
      <c r="P34" s="3"/>
      <c r="Q34" s="3"/>
      <c r="R34" s="3"/>
      <c r="S34" s="3"/>
      <c r="T34" s="3"/>
      <c r="U34" s="3"/>
      <c r="V34" s="3"/>
      <c r="W34" s="3"/>
      <c r="X34" s="3"/>
      <c r="Y34" s="3"/>
      <c r="Z34" s="3"/>
      <c r="AA34" s="3"/>
    </row>
    <row r="35">
      <c r="A35" s="3"/>
      <c r="B35" s="3"/>
      <c r="C35" s="3"/>
      <c r="D35" s="3"/>
      <c r="E35" s="3"/>
      <c r="F35" s="3"/>
      <c r="G35" s="3"/>
      <c r="H35" s="3"/>
      <c r="I35" s="3"/>
      <c r="J35" s="3"/>
      <c r="K35" s="3"/>
      <c r="L35" s="3"/>
      <c r="M35" s="3"/>
      <c r="N35" s="3"/>
      <c r="O35" s="3"/>
      <c r="P35" s="3"/>
      <c r="Q35" s="3"/>
      <c r="R35" s="3"/>
      <c r="S35" s="3"/>
      <c r="T35" s="3"/>
      <c r="U35" s="3"/>
      <c r="V35" s="3"/>
      <c r="W35" s="3"/>
      <c r="X35" s="3"/>
      <c r="Y35" s="3"/>
      <c r="Z35" s="3"/>
      <c r="AA35" s="3"/>
    </row>
    <row r="36">
      <c r="A36" s="3"/>
      <c r="B36" s="3"/>
      <c r="C36" s="3"/>
      <c r="D36" s="3"/>
      <c r="E36" s="3"/>
      <c r="F36" s="3"/>
      <c r="G36" s="3"/>
      <c r="H36" s="3"/>
      <c r="I36" s="3"/>
      <c r="J36" s="3"/>
      <c r="K36" s="3"/>
      <c r="L36" s="3"/>
      <c r="M36" s="3"/>
      <c r="N36" s="3"/>
      <c r="O36" s="3"/>
      <c r="P36" s="3"/>
      <c r="Q36" s="3"/>
      <c r="R36" s="3"/>
      <c r="S36" s="3"/>
      <c r="T36" s="3"/>
      <c r="U36" s="3"/>
      <c r="V36" s="3"/>
      <c r="W36" s="3"/>
      <c r="X36" s="3"/>
      <c r="Y36" s="3"/>
      <c r="Z36" s="3"/>
      <c r="AA36" s="3"/>
    </row>
    <row r="37">
      <c r="A37" s="3"/>
      <c r="B37" s="3"/>
      <c r="C37" s="3"/>
      <c r="D37" s="3"/>
      <c r="E37" s="3"/>
      <c r="F37" s="3"/>
      <c r="G37" s="3"/>
      <c r="H37" s="3"/>
      <c r="I37" s="3"/>
      <c r="J37" s="3"/>
      <c r="K37" s="3"/>
      <c r="L37" s="3"/>
      <c r="M37" s="3"/>
      <c r="N37" s="3"/>
      <c r="O37" s="3"/>
      <c r="P37" s="3"/>
      <c r="Q37" s="3"/>
      <c r="R37" s="3"/>
      <c r="S37" s="3"/>
      <c r="T37" s="3"/>
      <c r="U37" s="3"/>
      <c r="V37" s="3"/>
      <c r="W37" s="3"/>
      <c r="X37" s="3"/>
      <c r="Y37" s="3"/>
      <c r="Z37" s="3"/>
      <c r="AA37" s="3"/>
    </row>
    <row r="38">
      <c r="A38" s="3"/>
      <c r="B38" s="3"/>
      <c r="C38" s="3"/>
      <c r="D38" s="3"/>
      <c r="E38" s="3"/>
      <c r="F38" s="3"/>
      <c r="G38" s="3"/>
      <c r="H38" s="3"/>
      <c r="I38" s="3"/>
      <c r="J38" s="3"/>
      <c r="K38" s="3"/>
      <c r="L38" s="3"/>
      <c r="M38" s="3"/>
      <c r="N38" s="3"/>
      <c r="O38" s="3"/>
      <c r="P38" s="3"/>
      <c r="Q38" s="3"/>
      <c r="R38" s="3"/>
      <c r="S38" s="3"/>
      <c r="T38" s="3"/>
      <c r="U38" s="3"/>
      <c r="V38" s="3"/>
      <c r="W38" s="3"/>
      <c r="X38" s="3"/>
      <c r="Y38" s="3"/>
      <c r="Z38" s="3"/>
      <c r="AA38" s="3"/>
    </row>
    <row r="39">
      <c r="A39" s="3"/>
      <c r="B39" s="3"/>
      <c r="C39" s="3"/>
      <c r="D39" s="3"/>
      <c r="E39" s="3"/>
      <c r="F39" s="3"/>
      <c r="G39" s="3"/>
      <c r="H39" s="3"/>
      <c r="I39" s="3"/>
      <c r="J39" s="3"/>
      <c r="K39" s="3"/>
      <c r="L39" s="3"/>
      <c r="M39" s="3"/>
      <c r="N39" s="3"/>
      <c r="O39" s="3"/>
      <c r="P39" s="3"/>
      <c r="Q39" s="3"/>
      <c r="R39" s="3"/>
      <c r="S39" s="3"/>
      <c r="T39" s="3"/>
      <c r="U39" s="3"/>
      <c r="V39" s="3"/>
      <c r="W39" s="3"/>
      <c r="X39" s="3"/>
      <c r="Y39" s="3"/>
      <c r="Z39" s="3"/>
      <c r="AA39" s="3"/>
    </row>
    <row r="40">
      <c r="A40" s="3"/>
      <c r="B40" s="3"/>
      <c r="C40" s="3"/>
      <c r="D40" s="3"/>
      <c r="E40" s="3"/>
      <c r="F40" s="3"/>
      <c r="G40" s="3"/>
      <c r="H40" s="3"/>
      <c r="I40" s="3"/>
      <c r="J40" s="3"/>
      <c r="K40" s="3"/>
      <c r="L40" s="3"/>
      <c r="M40" s="3"/>
      <c r="N40" s="3"/>
      <c r="O40" s="3"/>
      <c r="P40" s="3"/>
      <c r="Q40" s="3"/>
      <c r="R40" s="3"/>
      <c r="S40" s="3"/>
      <c r="T40" s="3"/>
      <c r="U40" s="3"/>
      <c r="V40" s="3"/>
      <c r="W40" s="3"/>
      <c r="X40" s="3"/>
      <c r="Y40" s="3"/>
      <c r="Z40" s="3"/>
      <c r="AA40" s="3"/>
    </row>
    <row r="41">
      <c r="A41" s="3"/>
      <c r="B41" s="3"/>
      <c r="C41" s="3"/>
      <c r="D41" s="3"/>
      <c r="E41" s="3"/>
      <c r="F41" s="3"/>
      <c r="G41" s="3"/>
      <c r="H41" s="3"/>
      <c r="I41" s="3"/>
      <c r="J41" s="3"/>
      <c r="K41" s="3"/>
      <c r="L41" s="3"/>
      <c r="M41" s="3"/>
      <c r="N41" s="3"/>
      <c r="O41" s="3"/>
      <c r="P41" s="3"/>
      <c r="Q41" s="3"/>
      <c r="R41" s="3"/>
      <c r="S41" s="3"/>
      <c r="T41" s="3"/>
      <c r="U41" s="3"/>
      <c r="V41" s="3"/>
      <c r="W41" s="3"/>
      <c r="X41" s="3"/>
      <c r="Y41" s="3"/>
      <c r="Z41" s="3"/>
      <c r="AA41" s="3"/>
    </row>
    <row r="42">
      <c r="A42" s="3"/>
      <c r="B42" s="3"/>
      <c r="C42" s="3"/>
      <c r="D42" s="3"/>
      <c r="E42" s="3"/>
      <c r="F42" s="3"/>
      <c r="G42" s="3"/>
      <c r="H42" s="3"/>
      <c r="I42" s="3"/>
      <c r="J42" s="3"/>
      <c r="K42" s="3"/>
      <c r="L42" s="3"/>
      <c r="M42" s="3"/>
      <c r="N42" s="3"/>
      <c r="O42" s="3"/>
      <c r="P42" s="3"/>
      <c r="Q42" s="3"/>
      <c r="R42" s="3"/>
      <c r="S42" s="3"/>
      <c r="T42" s="3"/>
      <c r="U42" s="3"/>
      <c r="V42" s="3"/>
      <c r="W42" s="3"/>
      <c r="X42" s="3"/>
      <c r="Y42" s="3"/>
      <c r="Z42" s="3"/>
      <c r="AA42" s="3"/>
    </row>
    <row r="43">
      <c r="A43" s="3"/>
      <c r="B43" s="3"/>
      <c r="C43" s="3"/>
      <c r="D43" s="3"/>
      <c r="E43" s="3"/>
      <c r="F43" s="3"/>
      <c r="G43" s="3"/>
      <c r="H43" s="3"/>
      <c r="I43" s="3"/>
      <c r="J43" s="3"/>
      <c r="K43" s="3"/>
      <c r="L43" s="3"/>
      <c r="M43" s="3"/>
      <c r="N43" s="3"/>
      <c r="O43" s="3"/>
      <c r="P43" s="3"/>
      <c r="Q43" s="3"/>
      <c r="R43" s="3"/>
      <c r="S43" s="3"/>
      <c r="T43" s="3"/>
      <c r="U43" s="3"/>
      <c r="V43" s="3"/>
      <c r="W43" s="3"/>
      <c r="X43" s="3"/>
      <c r="Y43" s="3"/>
      <c r="Z43" s="3"/>
      <c r="AA43" s="3"/>
    </row>
    <row r="44">
      <c r="A44" s="3"/>
      <c r="B44" s="3"/>
      <c r="C44" s="3"/>
      <c r="D44" s="3"/>
      <c r="E44" s="3"/>
      <c r="F44" s="3"/>
      <c r="G44" s="3"/>
      <c r="H44" s="3"/>
      <c r="I44" s="3"/>
      <c r="J44" s="3"/>
      <c r="K44" s="3"/>
      <c r="L44" s="3"/>
      <c r="M44" s="3"/>
      <c r="N44" s="3"/>
      <c r="O44" s="3"/>
      <c r="P44" s="3"/>
      <c r="Q44" s="3"/>
      <c r="R44" s="3"/>
      <c r="S44" s="3"/>
      <c r="T44" s="3"/>
      <c r="U44" s="3"/>
      <c r="V44" s="3"/>
      <c r="W44" s="3"/>
      <c r="X44" s="3"/>
      <c r="Y44" s="3"/>
      <c r="Z44" s="3"/>
      <c r="AA44" s="3"/>
    </row>
    <row r="45">
      <c r="A45" s="3"/>
      <c r="B45" s="3"/>
      <c r="C45" s="3"/>
      <c r="D45" s="3"/>
      <c r="E45" s="3"/>
      <c r="F45" s="3"/>
      <c r="G45" s="3"/>
      <c r="H45" s="3"/>
      <c r="I45" s="3"/>
      <c r="J45" s="3"/>
      <c r="K45" s="3"/>
      <c r="L45" s="3"/>
      <c r="M45" s="3"/>
      <c r="N45" s="3"/>
      <c r="O45" s="3"/>
      <c r="P45" s="3"/>
      <c r="Q45" s="3"/>
      <c r="R45" s="3"/>
      <c r="S45" s="3"/>
      <c r="T45" s="3"/>
      <c r="U45" s="3"/>
      <c r="V45" s="3"/>
      <c r="W45" s="3"/>
      <c r="X45" s="3"/>
      <c r="Y45" s="3"/>
      <c r="Z45" s="3"/>
      <c r="AA45" s="3"/>
    </row>
    <row r="46">
      <c r="A46" s="3"/>
      <c r="B46" s="3"/>
      <c r="C46" s="3"/>
      <c r="D46" s="3"/>
      <c r="E46" s="3"/>
      <c r="F46" s="3"/>
      <c r="G46" s="3"/>
      <c r="H46" s="3"/>
      <c r="I46" s="3"/>
      <c r="J46" s="3"/>
      <c r="K46" s="3"/>
      <c r="L46" s="3"/>
      <c r="M46" s="3"/>
      <c r="N46" s="3"/>
      <c r="O46" s="3"/>
      <c r="P46" s="3"/>
      <c r="Q46" s="3"/>
      <c r="R46" s="3"/>
      <c r="S46" s="3"/>
      <c r="T46" s="3"/>
      <c r="U46" s="3"/>
      <c r="V46" s="3"/>
      <c r="W46" s="3"/>
      <c r="X46" s="3"/>
      <c r="Y46" s="3"/>
      <c r="Z46" s="3"/>
      <c r="AA46" s="3"/>
    </row>
    <row r="47">
      <c r="A47" s="3"/>
      <c r="B47" s="3"/>
      <c r="C47" s="3"/>
      <c r="D47" s="3"/>
      <c r="E47" s="3"/>
      <c r="F47" s="3"/>
      <c r="G47" s="3"/>
      <c r="H47" s="3"/>
      <c r="I47" s="3"/>
      <c r="J47" s="3"/>
      <c r="K47" s="3"/>
      <c r="L47" s="3"/>
      <c r="M47" s="3"/>
      <c r="N47" s="3"/>
      <c r="O47" s="3"/>
      <c r="P47" s="3"/>
      <c r="Q47" s="3"/>
      <c r="R47" s="3"/>
      <c r="S47" s="3"/>
      <c r="T47" s="3"/>
      <c r="U47" s="3"/>
      <c r="V47" s="3"/>
      <c r="W47" s="3"/>
      <c r="X47" s="3"/>
      <c r="Y47" s="3"/>
      <c r="Z47" s="3"/>
      <c r="AA47" s="3"/>
    </row>
    <row r="48">
      <c r="A48" s="3"/>
      <c r="B48" s="3"/>
      <c r="C48" s="3"/>
      <c r="D48" s="3"/>
      <c r="E48" s="3"/>
      <c r="F48" s="3"/>
      <c r="G48" s="3"/>
      <c r="H48" s="3"/>
      <c r="I48" s="3"/>
      <c r="J48" s="3"/>
      <c r="K48" s="3"/>
      <c r="L48" s="3"/>
      <c r="M48" s="3"/>
      <c r="N48" s="3"/>
      <c r="O48" s="3"/>
      <c r="P48" s="3"/>
      <c r="Q48" s="3"/>
      <c r="R48" s="3"/>
      <c r="S48" s="3"/>
      <c r="T48" s="3"/>
      <c r="U48" s="3"/>
      <c r="V48" s="3"/>
      <c r="W48" s="3"/>
      <c r="X48" s="3"/>
      <c r="Y48" s="3"/>
      <c r="Z48" s="3"/>
      <c r="AA48" s="3"/>
    </row>
    <row r="49">
      <c r="A49" s="3"/>
      <c r="B49" s="3"/>
      <c r="C49" s="3"/>
      <c r="D49" s="3"/>
      <c r="E49" s="3"/>
      <c r="F49" s="3"/>
      <c r="G49" s="3"/>
      <c r="H49" s="3"/>
      <c r="I49" s="3"/>
      <c r="J49" s="3"/>
      <c r="K49" s="3"/>
      <c r="L49" s="3"/>
      <c r="M49" s="3"/>
      <c r="N49" s="3"/>
      <c r="O49" s="3"/>
      <c r="P49" s="3"/>
      <c r="Q49" s="3"/>
      <c r="R49" s="3"/>
      <c r="S49" s="3"/>
      <c r="T49" s="3"/>
      <c r="U49" s="3"/>
      <c r="V49" s="3"/>
      <c r="W49" s="3"/>
      <c r="X49" s="3"/>
      <c r="Y49" s="3"/>
      <c r="Z49" s="3"/>
      <c r="AA49" s="3"/>
    </row>
    <row r="50">
      <c r="A50" s="3"/>
      <c r="B50" s="3"/>
      <c r="C50" s="3"/>
      <c r="D50" s="3"/>
      <c r="E50" s="3"/>
      <c r="F50" s="3"/>
      <c r="G50" s="3"/>
      <c r="H50" s="3"/>
      <c r="I50" s="3"/>
      <c r="J50" s="3"/>
      <c r="K50" s="3"/>
      <c r="L50" s="3"/>
      <c r="M50" s="3"/>
      <c r="N50" s="3"/>
      <c r="O50" s="3"/>
      <c r="P50" s="3"/>
      <c r="Q50" s="3"/>
      <c r="R50" s="3"/>
      <c r="S50" s="3"/>
      <c r="T50" s="3"/>
      <c r="U50" s="3"/>
      <c r="V50" s="3"/>
      <c r="W50" s="3"/>
      <c r="X50" s="3"/>
      <c r="Y50" s="3"/>
      <c r="Z50" s="3"/>
      <c r="AA50" s="3"/>
    </row>
    <row r="51">
      <c r="A51" s="3"/>
      <c r="B51" s="3"/>
      <c r="C51" s="3"/>
      <c r="D51" s="3"/>
      <c r="E51" s="3"/>
      <c r="F51" s="3"/>
      <c r="G51" s="3"/>
      <c r="H51" s="3"/>
      <c r="I51" s="3"/>
      <c r="J51" s="3"/>
      <c r="K51" s="3"/>
      <c r="L51" s="3"/>
      <c r="M51" s="3"/>
      <c r="N51" s="3"/>
      <c r="O51" s="3"/>
      <c r="P51" s="3"/>
      <c r="Q51" s="3"/>
      <c r="R51" s="3"/>
      <c r="S51" s="3"/>
      <c r="T51" s="3"/>
      <c r="U51" s="3"/>
      <c r="V51" s="3"/>
      <c r="W51" s="3"/>
      <c r="X51" s="3"/>
      <c r="Y51" s="3"/>
      <c r="Z51" s="3"/>
      <c r="AA51" s="3"/>
    </row>
    <row r="52">
      <c r="A52" s="3"/>
      <c r="B52" s="3"/>
      <c r="C52" s="3"/>
      <c r="D52" s="3"/>
      <c r="E52" s="3"/>
      <c r="F52" s="3"/>
      <c r="G52" s="3"/>
      <c r="H52" s="3"/>
      <c r="I52" s="3"/>
      <c r="J52" s="3"/>
      <c r="K52" s="3"/>
      <c r="L52" s="3"/>
      <c r="M52" s="3"/>
      <c r="N52" s="3"/>
      <c r="O52" s="3"/>
      <c r="P52" s="3"/>
      <c r="Q52" s="3"/>
      <c r="R52" s="3"/>
      <c r="S52" s="3"/>
      <c r="T52" s="3"/>
      <c r="U52" s="3"/>
      <c r="V52" s="3"/>
      <c r="W52" s="3"/>
      <c r="X52" s="3"/>
      <c r="Y52" s="3"/>
      <c r="Z52" s="3"/>
      <c r="AA52" s="3"/>
    </row>
    <row r="53">
      <c r="A53" s="3"/>
      <c r="B53" s="3"/>
      <c r="C53" s="3"/>
      <c r="D53" s="3"/>
      <c r="E53" s="3"/>
      <c r="F53" s="3"/>
      <c r="G53" s="3"/>
      <c r="H53" s="3"/>
      <c r="I53" s="3"/>
      <c r="J53" s="3"/>
      <c r="K53" s="3"/>
      <c r="L53" s="3"/>
      <c r="M53" s="3"/>
      <c r="N53" s="3"/>
      <c r="O53" s="3"/>
      <c r="P53" s="3"/>
      <c r="Q53" s="3"/>
      <c r="R53" s="3"/>
      <c r="S53" s="3"/>
      <c r="T53" s="3"/>
      <c r="U53" s="3"/>
      <c r="V53" s="3"/>
      <c r="W53" s="3"/>
      <c r="X53" s="3"/>
      <c r="Y53" s="3"/>
      <c r="Z53" s="3"/>
      <c r="AA53" s="3"/>
    </row>
    <row r="54">
      <c r="A54" s="3"/>
      <c r="B54" s="3"/>
      <c r="C54" s="3"/>
      <c r="D54" s="3"/>
      <c r="E54" s="3"/>
      <c r="F54" s="3"/>
      <c r="G54" s="3"/>
      <c r="H54" s="3"/>
      <c r="I54" s="3"/>
      <c r="J54" s="3"/>
      <c r="K54" s="3"/>
      <c r="L54" s="3"/>
      <c r="M54" s="3"/>
      <c r="N54" s="3"/>
      <c r="O54" s="3"/>
      <c r="P54" s="3"/>
      <c r="Q54" s="3"/>
      <c r="R54" s="3"/>
      <c r="S54" s="3"/>
      <c r="T54" s="3"/>
      <c r="U54" s="3"/>
      <c r="V54" s="3"/>
      <c r="W54" s="3"/>
      <c r="X54" s="3"/>
      <c r="Y54" s="3"/>
      <c r="Z54" s="3"/>
      <c r="AA54" s="3"/>
    </row>
    <row r="55">
      <c r="A55" s="3"/>
      <c r="B55" s="3"/>
      <c r="C55" s="3"/>
      <c r="D55" s="3"/>
      <c r="E55" s="3"/>
      <c r="F55" s="3"/>
      <c r="G55" s="3"/>
      <c r="H55" s="3"/>
      <c r="I55" s="3"/>
      <c r="J55" s="3"/>
      <c r="K55" s="3"/>
      <c r="L55" s="3"/>
      <c r="M55" s="3"/>
      <c r="N55" s="3"/>
      <c r="O55" s="3"/>
      <c r="P55" s="3"/>
      <c r="Q55" s="3"/>
      <c r="R55" s="3"/>
      <c r="S55" s="3"/>
      <c r="T55" s="3"/>
      <c r="U55" s="3"/>
      <c r="V55" s="3"/>
      <c r="W55" s="3"/>
      <c r="X55" s="3"/>
      <c r="Y55" s="3"/>
      <c r="Z55" s="3"/>
      <c r="AA55" s="3"/>
    </row>
    <row r="56">
      <c r="A56" s="3"/>
      <c r="B56" s="3"/>
      <c r="C56" s="3"/>
      <c r="D56" s="3"/>
      <c r="E56" s="3"/>
      <c r="F56" s="3"/>
      <c r="G56" s="3"/>
      <c r="H56" s="3"/>
      <c r="I56" s="3"/>
      <c r="J56" s="3"/>
      <c r="K56" s="3"/>
      <c r="L56" s="3"/>
      <c r="M56" s="3"/>
      <c r="N56" s="3"/>
      <c r="O56" s="3"/>
      <c r="P56" s="3"/>
      <c r="Q56" s="3"/>
      <c r="R56" s="3"/>
      <c r="S56" s="3"/>
      <c r="T56" s="3"/>
      <c r="U56" s="3"/>
      <c r="V56" s="3"/>
      <c r="W56" s="3"/>
      <c r="X56" s="3"/>
      <c r="Y56" s="3"/>
      <c r="Z56" s="3"/>
      <c r="AA56" s="3"/>
    </row>
    <row r="57">
      <c r="A57" s="3"/>
      <c r="B57" s="3"/>
      <c r="C57" s="3"/>
      <c r="D57" s="3"/>
      <c r="E57" s="3"/>
      <c r="F57" s="3"/>
      <c r="G57" s="3"/>
      <c r="H57" s="3"/>
      <c r="I57" s="3"/>
      <c r="J57" s="3"/>
      <c r="K57" s="3"/>
      <c r="L57" s="3"/>
      <c r="M57" s="3"/>
      <c r="N57" s="3"/>
      <c r="O57" s="3"/>
      <c r="P57" s="3"/>
      <c r="Q57" s="3"/>
      <c r="R57" s="3"/>
      <c r="S57" s="3"/>
      <c r="T57" s="3"/>
      <c r="U57" s="3"/>
      <c r="V57" s="3"/>
      <c r="W57" s="3"/>
      <c r="X57" s="3"/>
      <c r="Y57" s="3"/>
      <c r="Z57" s="3"/>
      <c r="AA57" s="3"/>
    </row>
    <row r="58">
      <c r="A58" s="3"/>
      <c r="B58" s="3"/>
      <c r="C58" s="3"/>
      <c r="D58" s="3"/>
      <c r="E58" s="3"/>
      <c r="F58" s="3"/>
      <c r="G58" s="3"/>
      <c r="H58" s="3"/>
      <c r="I58" s="3"/>
      <c r="J58" s="3"/>
      <c r="K58" s="3"/>
      <c r="L58" s="3"/>
      <c r="M58" s="3"/>
      <c r="N58" s="3"/>
      <c r="O58" s="3"/>
      <c r="P58" s="3"/>
      <c r="Q58" s="3"/>
      <c r="R58" s="3"/>
      <c r="S58" s="3"/>
      <c r="T58" s="3"/>
      <c r="U58" s="3"/>
      <c r="V58" s="3"/>
      <c r="W58" s="3"/>
      <c r="X58" s="3"/>
      <c r="Y58" s="3"/>
      <c r="Z58" s="3"/>
      <c r="AA58" s="3"/>
    </row>
    <row r="59">
      <c r="A59" s="3"/>
      <c r="B59" s="3"/>
      <c r="C59" s="3"/>
      <c r="D59" s="3"/>
      <c r="E59" s="3"/>
      <c r="F59" s="3"/>
      <c r="G59" s="3"/>
      <c r="H59" s="3"/>
      <c r="I59" s="3"/>
      <c r="J59" s="3"/>
      <c r="K59" s="3"/>
      <c r="L59" s="3"/>
      <c r="M59" s="3"/>
      <c r="N59" s="3"/>
      <c r="O59" s="3"/>
      <c r="P59" s="3"/>
      <c r="Q59" s="3"/>
      <c r="R59" s="3"/>
      <c r="S59" s="3"/>
      <c r="T59" s="3"/>
      <c r="U59" s="3"/>
      <c r="V59" s="3"/>
      <c r="W59" s="3"/>
      <c r="X59" s="3"/>
      <c r="Y59" s="3"/>
      <c r="Z59" s="3"/>
      <c r="AA59" s="3"/>
    </row>
    <row r="60">
      <c r="A60" s="3"/>
      <c r="B60" s="3"/>
      <c r="C60" s="3"/>
      <c r="D60" s="3"/>
      <c r="E60" s="3"/>
      <c r="F60" s="3"/>
      <c r="G60" s="3"/>
      <c r="H60" s="3"/>
      <c r="I60" s="3"/>
      <c r="J60" s="3"/>
      <c r="K60" s="3"/>
      <c r="L60" s="3"/>
      <c r="M60" s="3"/>
      <c r="N60" s="3"/>
      <c r="O60" s="3"/>
      <c r="P60" s="3"/>
      <c r="Q60" s="3"/>
      <c r="R60" s="3"/>
      <c r="S60" s="3"/>
      <c r="T60" s="3"/>
      <c r="U60" s="3"/>
      <c r="V60" s="3"/>
      <c r="W60" s="3"/>
      <c r="X60" s="3"/>
      <c r="Y60" s="3"/>
      <c r="Z60" s="3"/>
      <c r="AA60" s="3"/>
    </row>
    <row r="61">
      <c r="A61" s="3"/>
      <c r="B61" s="3"/>
      <c r="C61" s="3"/>
      <c r="D61" s="3"/>
      <c r="E61" s="3"/>
      <c r="F61" s="3"/>
      <c r="G61" s="3"/>
      <c r="H61" s="3"/>
      <c r="I61" s="3"/>
      <c r="J61" s="3"/>
      <c r="K61" s="3"/>
      <c r="L61" s="3"/>
      <c r="M61" s="3"/>
      <c r="N61" s="3"/>
      <c r="O61" s="3"/>
      <c r="P61" s="3"/>
      <c r="Q61" s="3"/>
      <c r="R61" s="3"/>
      <c r="S61" s="3"/>
      <c r="T61" s="3"/>
      <c r="U61" s="3"/>
      <c r="V61" s="3"/>
      <c r="W61" s="3"/>
      <c r="X61" s="3"/>
      <c r="Y61" s="3"/>
      <c r="Z61" s="3"/>
      <c r="AA61" s="3"/>
    </row>
    <row r="62">
      <c r="A62" s="3"/>
      <c r="B62" s="3"/>
      <c r="C62" s="3"/>
      <c r="D62" s="3"/>
      <c r="E62" s="3"/>
      <c r="F62" s="3"/>
      <c r="G62" s="3"/>
      <c r="H62" s="3"/>
      <c r="I62" s="3"/>
      <c r="J62" s="3"/>
      <c r="K62" s="3"/>
      <c r="L62" s="3"/>
      <c r="M62" s="3"/>
      <c r="N62" s="3"/>
      <c r="O62" s="3"/>
      <c r="P62" s="3"/>
      <c r="Q62" s="3"/>
      <c r="R62" s="3"/>
      <c r="S62" s="3"/>
      <c r="T62" s="3"/>
      <c r="U62" s="3"/>
      <c r="V62" s="3"/>
      <c r="W62" s="3"/>
      <c r="X62" s="3"/>
      <c r="Y62" s="3"/>
      <c r="Z62" s="3"/>
      <c r="AA62" s="3"/>
    </row>
    <row r="63">
      <c r="A63" s="3"/>
      <c r="B63" s="3"/>
      <c r="C63" s="3"/>
      <c r="D63" s="3"/>
      <c r="E63" s="3"/>
      <c r="F63" s="3"/>
      <c r="G63" s="3"/>
      <c r="H63" s="3"/>
      <c r="I63" s="3"/>
      <c r="J63" s="3"/>
      <c r="K63" s="3"/>
      <c r="L63" s="3"/>
      <c r="M63" s="3"/>
      <c r="N63" s="3"/>
      <c r="O63" s="3"/>
      <c r="P63" s="3"/>
      <c r="Q63" s="3"/>
      <c r="R63" s="3"/>
      <c r="S63" s="3"/>
      <c r="T63" s="3"/>
      <c r="U63" s="3"/>
      <c r="V63" s="3"/>
      <c r="W63" s="3"/>
      <c r="X63" s="3"/>
      <c r="Y63" s="3"/>
      <c r="Z63" s="3"/>
      <c r="AA63" s="3"/>
    </row>
    <row r="64">
      <c r="A64" s="3"/>
      <c r="B64" s="3"/>
      <c r="C64" s="3"/>
      <c r="D64" s="3"/>
      <c r="E64" s="3"/>
      <c r="F64" s="3"/>
      <c r="G64" s="3"/>
      <c r="H64" s="3"/>
      <c r="I64" s="3"/>
      <c r="J64" s="3"/>
      <c r="K64" s="3"/>
      <c r="L64" s="3"/>
      <c r="M64" s="3"/>
      <c r="N64" s="3"/>
      <c r="O64" s="3"/>
      <c r="P64" s="3"/>
      <c r="Q64" s="3"/>
      <c r="R64" s="3"/>
      <c r="S64" s="3"/>
      <c r="T64" s="3"/>
      <c r="U64" s="3"/>
      <c r="V64" s="3"/>
      <c r="W64" s="3"/>
      <c r="X64" s="3"/>
      <c r="Y64" s="3"/>
      <c r="Z64" s="3"/>
      <c r="AA64" s="3"/>
    </row>
    <row r="65">
      <c r="A65" s="3"/>
      <c r="B65" s="3"/>
      <c r="C65" s="3"/>
      <c r="D65" s="3"/>
      <c r="E65" s="3"/>
      <c r="F65" s="3"/>
      <c r="G65" s="3"/>
      <c r="H65" s="3"/>
      <c r="I65" s="3"/>
      <c r="J65" s="3"/>
      <c r="K65" s="3"/>
      <c r="L65" s="3"/>
      <c r="M65" s="3"/>
      <c r="N65" s="3"/>
      <c r="O65" s="3"/>
      <c r="P65" s="3"/>
      <c r="Q65" s="3"/>
      <c r="R65" s="3"/>
      <c r="S65" s="3"/>
      <c r="T65" s="3"/>
      <c r="U65" s="3"/>
      <c r="V65" s="3"/>
      <c r="W65" s="3"/>
      <c r="X65" s="3"/>
      <c r="Y65" s="3"/>
      <c r="Z65" s="3"/>
      <c r="AA65" s="3"/>
    </row>
    <row r="66">
      <c r="A66" s="3"/>
      <c r="B66" s="3"/>
      <c r="C66" s="3"/>
      <c r="D66" s="3"/>
      <c r="E66" s="3"/>
      <c r="F66" s="3"/>
      <c r="G66" s="3"/>
      <c r="H66" s="3"/>
      <c r="I66" s="3"/>
      <c r="J66" s="3"/>
      <c r="K66" s="3"/>
      <c r="L66" s="3"/>
      <c r="M66" s="3"/>
      <c r="N66" s="3"/>
      <c r="O66" s="3"/>
      <c r="P66" s="3"/>
      <c r="Q66" s="3"/>
      <c r="R66" s="3"/>
      <c r="S66" s="3"/>
      <c r="T66" s="3"/>
      <c r="U66" s="3"/>
      <c r="V66" s="3"/>
      <c r="W66" s="3"/>
      <c r="X66" s="3"/>
      <c r="Y66" s="3"/>
      <c r="Z66" s="3"/>
      <c r="AA66" s="3"/>
    </row>
    <row r="67">
      <c r="A67" s="3"/>
      <c r="B67" s="3"/>
      <c r="C67" s="3"/>
      <c r="D67" s="3"/>
      <c r="E67" s="3"/>
      <c r="F67" s="3"/>
      <c r="G67" s="3"/>
      <c r="H67" s="3"/>
      <c r="I67" s="3"/>
      <c r="J67" s="3"/>
      <c r="K67" s="3"/>
      <c r="L67" s="3"/>
      <c r="M67" s="3"/>
      <c r="N67" s="3"/>
      <c r="O67" s="3"/>
      <c r="P67" s="3"/>
      <c r="Q67" s="3"/>
      <c r="R67" s="3"/>
      <c r="S67" s="3"/>
      <c r="T67" s="3"/>
      <c r="U67" s="3"/>
      <c r="V67" s="3"/>
      <c r="W67" s="3"/>
      <c r="X67" s="3"/>
      <c r="Y67" s="3"/>
      <c r="Z67" s="3"/>
      <c r="AA67" s="3"/>
    </row>
    <row r="68">
      <c r="A68" s="3"/>
      <c r="B68" s="3"/>
      <c r="C68" s="3"/>
      <c r="D68" s="3"/>
      <c r="E68" s="3"/>
      <c r="F68" s="3"/>
      <c r="G68" s="3"/>
      <c r="H68" s="3"/>
      <c r="I68" s="3"/>
      <c r="J68" s="3"/>
      <c r="K68" s="3"/>
      <c r="L68" s="3"/>
      <c r="M68" s="3"/>
      <c r="N68" s="3"/>
      <c r="O68" s="3"/>
      <c r="P68" s="3"/>
      <c r="Q68" s="3"/>
      <c r="R68" s="3"/>
      <c r="S68" s="3"/>
      <c r="T68" s="3"/>
      <c r="U68" s="3"/>
      <c r="V68" s="3"/>
      <c r="W68" s="3"/>
      <c r="X68" s="3"/>
      <c r="Y68" s="3"/>
      <c r="Z68" s="3"/>
      <c r="AA68" s="3"/>
    </row>
    <row r="69">
      <c r="A69" s="3"/>
      <c r="B69" s="3"/>
      <c r="C69" s="3"/>
      <c r="D69" s="3"/>
      <c r="E69" s="3"/>
      <c r="F69" s="3"/>
      <c r="G69" s="3"/>
      <c r="H69" s="3"/>
      <c r="I69" s="3"/>
      <c r="J69" s="3"/>
      <c r="K69" s="3"/>
      <c r="L69" s="3"/>
      <c r="M69" s="3"/>
      <c r="N69" s="3"/>
      <c r="O69" s="3"/>
      <c r="P69" s="3"/>
      <c r="Q69" s="3"/>
      <c r="R69" s="3"/>
      <c r="S69" s="3"/>
      <c r="T69" s="3"/>
      <c r="U69" s="3"/>
      <c r="V69" s="3"/>
      <c r="W69" s="3"/>
      <c r="X69" s="3"/>
      <c r="Y69" s="3"/>
      <c r="Z69" s="3"/>
      <c r="AA69" s="3"/>
    </row>
    <row r="70">
      <c r="A70" s="3"/>
      <c r="B70" s="3"/>
      <c r="C70" s="3"/>
      <c r="D70" s="3"/>
      <c r="E70" s="3"/>
      <c r="F70" s="3"/>
      <c r="G70" s="3"/>
      <c r="H70" s="3"/>
      <c r="I70" s="3"/>
      <c r="J70" s="3"/>
      <c r="K70" s="3"/>
      <c r="L70" s="3"/>
      <c r="M70" s="3"/>
      <c r="N70" s="3"/>
      <c r="O70" s="3"/>
      <c r="P70" s="3"/>
      <c r="Q70" s="3"/>
      <c r="R70" s="3"/>
      <c r="S70" s="3"/>
      <c r="T70" s="3"/>
      <c r="U70" s="3"/>
      <c r="V70" s="3"/>
      <c r="W70" s="3"/>
      <c r="X70" s="3"/>
      <c r="Y70" s="3"/>
      <c r="Z70" s="3"/>
      <c r="AA70" s="3"/>
    </row>
    <row r="71">
      <c r="A71" s="3"/>
      <c r="B71" s="3"/>
      <c r="C71" s="3"/>
      <c r="D71" s="3"/>
      <c r="E71" s="3"/>
      <c r="F71" s="3"/>
      <c r="G71" s="3"/>
      <c r="H71" s="3"/>
      <c r="I71" s="3"/>
      <c r="J71" s="3"/>
      <c r="K71" s="3"/>
      <c r="L71" s="3"/>
      <c r="M71" s="3"/>
      <c r="N71" s="3"/>
      <c r="O71" s="3"/>
      <c r="P71" s="3"/>
      <c r="Q71" s="3"/>
      <c r="R71" s="3"/>
      <c r="S71" s="3"/>
      <c r="T71" s="3"/>
      <c r="U71" s="3"/>
      <c r="V71" s="3"/>
      <c r="W71" s="3"/>
      <c r="X71" s="3"/>
      <c r="Y71" s="3"/>
      <c r="Z71" s="3"/>
      <c r="AA71" s="3"/>
    </row>
    <row r="72">
      <c r="A72" s="3"/>
      <c r="B72" s="3"/>
      <c r="C72" s="3"/>
      <c r="D72" s="3"/>
      <c r="E72" s="3"/>
      <c r="F72" s="3"/>
      <c r="G72" s="3"/>
      <c r="H72" s="3"/>
      <c r="I72" s="3"/>
      <c r="J72" s="3"/>
      <c r="K72" s="3"/>
      <c r="L72" s="3"/>
      <c r="M72" s="3"/>
      <c r="N72" s="3"/>
      <c r="O72" s="3"/>
      <c r="P72" s="3"/>
      <c r="Q72" s="3"/>
      <c r="R72" s="3"/>
      <c r="S72" s="3"/>
      <c r="T72" s="3"/>
      <c r="U72" s="3"/>
      <c r="V72" s="3"/>
      <c r="W72" s="3"/>
      <c r="X72" s="3"/>
      <c r="Y72" s="3"/>
      <c r="Z72" s="3"/>
      <c r="AA72" s="3"/>
    </row>
    <row r="73">
      <c r="A73" s="3"/>
      <c r="B73" s="3"/>
      <c r="C73" s="3"/>
      <c r="D73" s="3"/>
      <c r="E73" s="3"/>
      <c r="F73" s="3"/>
      <c r="G73" s="3"/>
      <c r="H73" s="3"/>
      <c r="I73" s="3"/>
      <c r="J73" s="3"/>
      <c r="K73" s="3"/>
      <c r="L73" s="3"/>
      <c r="M73" s="3"/>
      <c r="N73" s="3"/>
      <c r="O73" s="3"/>
      <c r="P73" s="3"/>
      <c r="Q73" s="3"/>
      <c r="R73" s="3"/>
      <c r="S73" s="3"/>
      <c r="T73" s="3"/>
      <c r="U73" s="3"/>
      <c r="V73" s="3"/>
      <c r="W73" s="3"/>
      <c r="X73" s="3"/>
      <c r="Y73" s="3"/>
      <c r="Z73" s="3"/>
      <c r="AA73" s="3"/>
    </row>
    <row r="74">
      <c r="A74" s="3"/>
      <c r="B74" s="3"/>
      <c r="C74" s="3"/>
      <c r="D74" s="3"/>
      <c r="E74" s="3"/>
      <c r="F74" s="3"/>
      <c r="G74" s="3"/>
      <c r="H74" s="3"/>
      <c r="I74" s="3"/>
      <c r="J74" s="3"/>
      <c r="K74" s="3"/>
      <c r="L74" s="3"/>
      <c r="M74" s="3"/>
      <c r="N74" s="3"/>
      <c r="O74" s="3"/>
      <c r="P74" s="3"/>
      <c r="Q74" s="3"/>
      <c r="R74" s="3"/>
      <c r="S74" s="3"/>
      <c r="T74" s="3"/>
      <c r="U74" s="3"/>
      <c r="V74" s="3"/>
      <c r="W74" s="3"/>
      <c r="X74" s="3"/>
      <c r="Y74" s="3"/>
      <c r="Z74" s="3"/>
      <c r="AA74" s="3"/>
    </row>
    <row r="75">
      <c r="A75" s="3"/>
      <c r="B75" s="3"/>
      <c r="C75" s="3"/>
      <c r="D75" s="3"/>
      <c r="E75" s="3"/>
      <c r="F75" s="3"/>
      <c r="G75" s="3"/>
      <c r="H75" s="3"/>
      <c r="I75" s="3"/>
      <c r="J75" s="3"/>
      <c r="K75" s="3"/>
      <c r="L75" s="3"/>
      <c r="M75" s="3"/>
      <c r="N75" s="3"/>
      <c r="O75" s="3"/>
      <c r="P75" s="3"/>
      <c r="Q75" s="3"/>
      <c r="R75" s="3"/>
      <c r="S75" s="3"/>
      <c r="T75" s="3"/>
      <c r="U75" s="3"/>
      <c r="V75" s="3"/>
      <c r="W75" s="3"/>
      <c r="X75" s="3"/>
      <c r="Y75" s="3"/>
      <c r="Z75" s="3"/>
      <c r="AA75" s="3"/>
    </row>
    <row r="76">
      <c r="A76" s="3"/>
      <c r="B76" s="3"/>
      <c r="C76" s="3"/>
      <c r="D76" s="3"/>
      <c r="E76" s="3"/>
      <c r="F76" s="3"/>
      <c r="G76" s="3"/>
      <c r="H76" s="3"/>
      <c r="I76" s="3"/>
      <c r="J76" s="3"/>
      <c r="K76" s="3"/>
      <c r="L76" s="3"/>
      <c r="M76" s="3"/>
      <c r="N76" s="3"/>
      <c r="O76" s="3"/>
      <c r="P76" s="3"/>
      <c r="Q76" s="3"/>
      <c r="R76" s="3"/>
      <c r="S76" s="3"/>
      <c r="T76" s="3"/>
      <c r="U76" s="3"/>
      <c r="V76" s="3"/>
      <c r="W76" s="3"/>
      <c r="X76" s="3"/>
      <c r="Y76" s="3"/>
      <c r="Z76" s="3"/>
      <c r="AA76" s="3"/>
    </row>
    <row r="77">
      <c r="A77" s="3"/>
      <c r="B77" s="3"/>
      <c r="C77" s="3"/>
      <c r="D77" s="3"/>
      <c r="E77" s="3"/>
      <c r="F77" s="3"/>
      <c r="G77" s="3"/>
      <c r="H77" s="3"/>
      <c r="I77" s="3"/>
      <c r="J77" s="3"/>
      <c r="K77" s="3"/>
      <c r="L77" s="3"/>
      <c r="M77" s="3"/>
      <c r="N77" s="3"/>
      <c r="O77" s="3"/>
      <c r="P77" s="3"/>
      <c r="Q77" s="3"/>
      <c r="R77" s="3"/>
      <c r="S77" s="3"/>
      <c r="T77" s="3"/>
      <c r="U77" s="3"/>
      <c r="V77" s="3"/>
      <c r="W77" s="3"/>
      <c r="X77" s="3"/>
      <c r="Y77" s="3"/>
      <c r="Z77" s="3"/>
      <c r="AA77" s="3"/>
    </row>
    <row r="78">
      <c r="A78" s="3"/>
      <c r="B78" s="3"/>
      <c r="C78" s="3"/>
      <c r="D78" s="3"/>
      <c r="E78" s="3"/>
      <c r="F78" s="3"/>
      <c r="G78" s="3"/>
      <c r="H78" s="3"/>
      <c r="I78" s="3"/>
      <c r="J78" s="3"/>
      <c r="K78" s="3"/>
      <c r="L78" s="3"/>
      <c r="M78" s="3"/>
      <c r="N78" s="3"/>
      <c r="O78" s="3"/>
      <c r="P78" s="3"/>
      <c r="Q78" s="3"/>
      <c r="R78" s="3"/>
      <c r="S78" s="3"/>
      <c r="T78" s="3"/>
      <c r="U78" s="3"/>
      <c r="V78" s="3"/>
      <c r="W78" s="3"/>
      <c r="X78" s="3"/>
      <c r="Y78" s="3"/>
      <c r="Z78" s="3"/>
      <c r="AA78" s="3"/>
    </row>
    <row r="79">
      <c r="A79" s="3"/>
      <c r="B79" s="3"/>
      <c r="C79" s="3"/>
      <c r="D79" s="3"/>
      <c r="E79" s="3"/>
      <c r="F79" s="3"/>
      <c r="G79" s="3"/>
      <c r="H79" s="3"/>
      <c r="I79" s="3"/>
      <c r="J79" s="3"/>
      <c r="K79" s="3"/>
      <c r="L79" s="3"/>
      <c r="M79" s="3"/>
      <c r="N79" s="3"/>
      <c r="O79" s="3"/>
      <c r="P79" s="3"/>
      <c r="Q79" s="3"/>
      <c r="R79" s="3"/>
      <c r="S79" s="3"/>
      <c r="T79" s="3"/>
      <c r="U79" s="3"/>
      <c r="V79" s="3"/>
      <c r="W79" s="3"/>
      <c r="X79" s="3"/>
      <c r="Y79" s="3"/>
      <c r="Z79" s="3"/>
      <c r="AA79" s="3"/>
    </row>
    <row r="80">
      <c r="A80" s="3"/>
      <c r="B80" s="3"/>
      <c r="C80" s="3"/>
      <c r="D80" s="3"/>
      <c r="E80" s="3"/>
      <c r="F80" s="3"/>
      <c r="G80" s="3"/>
      <c r="H80" s="3"/>
      <c r="I80" s="3"/>
      <c r="J80" s="3"/>
      <c r="K80" s="3"/>
      <c r="L80" s="3"/>
      <c r="M80" s="3"/>
      <c r="N80" s="3"/>
      <c r="O80" s="3"/>
      <c r="P80" s="3"/>
      <c r="Q80" s="3"/>
      <c r="R80" s="3"/>
      <c r="S80" s="3"/>
      <c r="T80" s="3"/>
      <c r="U80" s="3"/>
      <c r="V80" s="3"/>
      <c r="W80" s="3"/>
      <c r="X80" s="3"/>
      <c r="Y80" s="3"/>
      <c r="Z80" s="3"/>
      <c r="AA80" s="3"/>
    </row>
    <row r="81">
      <c r="A81" s="3"/>
      <c r="B81" s="3"/>
      <c r="C81" s="3"/>
      <c r="D81" s="3"/>
      <c r="E81" s="3"/>
      <c r="F81" s="3"/>
      <c r="G81" s="3"/>
      <c r="H81" s="3"/>
      <c r="I81" s="3"/>
      <c r="J81" s="3"/>
      <c r="K81" s="3"/>
      <c r="L81" s="3"/>
      <c r="M81" s="3"/>
      <c r="N81" s="3"/>
      <c r="O81" s="3"/>
      <c r="P81" s="3"/>
      <c r="Q81" s="3"/>
      <c r="R81" s="3"/>
      <c r="S81" s="3"/>
      <c r="T81" s="3"/>
      <c r="U81" s="3"/>
      <c r="V81" s="3"/>
      <c r="W81" s="3"/>
      <c r="X81" s="3"/>
      <c r="Y81" s="3"/>
      <c r="Z81" s="3"/>
      <c r="AA81" s="3"/>
    </row>
    <row r="82">
      <c r="A82" s="3"/>
      <c r="B82" s="3"/>
      <c r="C82" s="3"/>
      <c r="D82" s="3"/>
      <c r="E82" s="3"/>
      <c r="F82" s="3"/>
      <c r="G82" s="3"/>
      <c r="H82" s="3"/>
      <c r="I82" s="3"/>
      <c r="J82" s="3"/>
      <c r="K82" s="3"/>
      <c r="L82" s="3"/>
      <c r="M82" s="3"/>
      <c r="N82" s="3"/>
      <c r="O82" s="3"/>
      <c r="P82" s="3"/>
      <c r="Q82" s="3"/>
      <c r="R82" s="3"/>
      <c r="S82" s="3"/>
      <c r="T82" s="3"/>
      <c r="U82" s="3"/>
      <c r="V82" s="3"/>
      <c r="W82" s="3"/>
      <c r="X82" s="3"/>
      <c r="Y82" s="3"/>
      <c r="Z82" s="3"/>
      <c r="AA82" s="3"/>
    </row>
    <row r="83">
      <c r="A83" s="3"/>
      <c r="B83" s="3"/>
      <c r="C83" s="3"/>
      <c r="D83" s="3"/>
      <c r="E83" s="3"/>
      <c r="F83" s="3"/>
      <c r="G83" s="3"/>
      <c r="H83" s="3"/>
      <c r="I83" s="3"/>
      <c r="J83" s="3"/>
      <c r="K83" s="3"/>
      <c r="L83" s="3"/>
      <c r="M83" s="3"/>
      <c r="N83" s="3"/>
      <c r="O83" s="3"/>
      <c r="P83" s="3"/>
      <c r="Q83" s="3"/>
      <c r="R83" s="3"/>
      <c r="S83" s="3"/>
      <c r="T83" s="3"/>
      <c r="U83" s="3"/>
      <c r="V83" s="3"/>
      <c r="W83" s="3"/>
      <c r="X83" s="3"/>
      <c r="Y83" s="3"/>
      <c r="Z83" s="3"/>
      <c r="AA83" s="3"/>
    </row>
    <row r="84">
      <c r="A84" s="3"/>
      <c r="B84" s="3"/>
      <c r="C84" s="3"/>
      <c r="D84" s="3"/>
      <c r="E84" s="3"/>
      <c r="F84" s="3"/>
      <c r="G84" s="3"/>
      <c r="H84" s="3"/>
      <c r="I84" s="3"/>
      <c r="J84" s="3"/>
      <c r="K84" s="3"/>
      <c r="L84" s="3"/>
      <c r="M84" s="3"/>
      <c r="N84" s="3"/>
      <c r="O84" s="3"/>
      <c r="P84" s="3"/>
      <c r="Q84" s="3"/>
      <c r="R84" s="3"/>
      <c r="S84" s="3"/>
      <c r="T84" s="3"/>
      <c r="U84" s="3"/>
      <c r="V84" s="3"/>
      <c r="W84" s="3"/>
      <c r="X84" s="3"/>
      <c r="Y84" s="3"/>
      <c r="Z84" s="3"/>
      <c r="AA84" s="3"/>
    </row>
    <row r="85">
      <c r="A85" s="3"/>
      <c r="B85" s="3"/>
      <c r="C85" s="3"/>
      <c r="D85" s="3"/>
      <c r="E85" s="3"/>
      <c r="F85" s="3"/>
      <c r="G85" s="3"/>
      <c r="H85" s="3"/>
      <c r="I85" s="3"/>
      <c r="J85" s="3"/>
      <c r="K85" s="3"/>
      <c r="L85" s="3"/>
      <c r="M85" s="3"/>
      <c r="N85" s="3"/>
      <c r="O85" s="3"/>
      <c r="P85" s="3"/>
      <c r="Q85" s="3"/>
      <c r="R85" s="3"/>
      <c r="S85" s="3"/>
      <c r="T85" s="3"/>
      <c r="U85" s="3"/>
      <c r="V85" s="3"/>
      <c r="W85" s="3"/>
      <c r="X85" s="3"/>
      <c r="Y85" s="3"/>
      <c r="Z85" s="3"/>
      <c r="AA85" s="3"/>
    </row>
    <row r="86">
      <c r="A86" s="3"/>
      <c r="B86" s="3"/>
      <c r="C86" s="3"/>
      <c r="D86" s="3"/>
      <c r="E86" s="3"/>
      <c r="F86" s="3"/>
      <c r="G86" s="3"/>
      <c r="H86" s="3"/>
      <c r="I86" s="3"/>
      <c r="J86" s="3"/>
      <c r="K86" s="3"/>
      <c r="L86" s="3"/>
      <c r="M86" s="3"/>
      <c r="N86" s="3"/>
      <c r="O86" s="3"/>
      <c r="P86" s="3"/>
      <c r="Q86" s="3"/>
      <c r="R86" s="3"/>
      <c r="S86" s="3"/>
      <c r="T86" s="3"/>
      <c r="U86" s="3"/>
      <c r="V86" s="3"/>
      <c r="W86" s="3"/>
      <c r="X86" s="3"/>
      <c r="Y86" s="3"/>
      <c r="Z86" s="3"/>
      <c r="AA86" s="3"/>
    </row>
    <row r="87">
      <c r="A87" s="3"/>
      <c r="B87" s="3"/>
      <c r="C87" s="3"/>
      <c r="D87" s="3"/>
      <c r="E87" s="3"/>
      <c r="F87" s="3"/>
      <c r="G87" s="3"/>
      <c r="H87" s="3"/>
      <c r="I87" s="3"/>
      <c r="J87" s="3"/>
      <c r="K87" s="3"/>
      <c r="L87" s="3"/>
      <c r="M87" s="3"/>
      <c r="N87" s="3"/>
      <c r="O87" s="3"/>
      <c r="P87" s="3"/>
      <c r="Q87" s="3"/>
      <c r="R87" s="3"/>
      <c r="S87" s="3"/>
      <c r="T87" s="3"/>
      <c r="U87" s="3"/>
      <c r="V87" s="3"/>
      <c r="W87" s="3"/>
      <c r="X87" s="3"/>
      <c r="Y87" s="3"/>
      <c r="Z87" s="3"/>
      <c r="AA87" s="3"/>
    </row>
    <row r="88">
      <c r="A88" s="3"/>
      <c r="B88" s="3"/>
      <c r="C88" s="3"/>
      <c r="D88" s="3"/>
      <c r="E88" s="3"/>
      <c r="F88" s="3"/>
      <c r="G88" s="3"/>
      <c r="H88" s="3"/>
      <c r="I88" s="3"/>
      <c r="J88" s="3"/>
      <c r="K88" s="3"/>
      <c r="L88" s="3"/>
      <c r="M88" s="3"/>
      <c r="N88" s="3"/>
      <c r="O88" s="3"/>
      <c r="P88" s="3"/>
      <c r="Q88" s="3"/>
      <c r="R88" s="3"/>
      <c r="S88" s="3"/>
      <c r="T88" s="3"/>
      <c r="U88" s="3"/>
      <c r="V88" s="3"/>
      <c r="W88" s="3"/>
      <c r="X88" s="3"/>
      <c r="Y88" s="3"/>
      <c r="Z88" s="3"/>
      <c r="AA88" s="3"/>
    </row>
    <row r="89">
      <c r="A89" s="3"/>
      <c r="B89" s="3"/>
      <c r="C89" s="3"/>
      <c r="D89" s="3"/>
      <c r="E89" s="3"/>
      <c r="F89" s="3"/>
      <c r="G89" s="3"/>
      <c r="H89" s="3"/>
      <c r="I89" s="3"/>
      <c r="J89" s="3"/>
      <c r="K89" s="3"/>
      <c r="L89" s="3"/>
      <c r="M89" s="3"/>
      <c r="N89" s="3"/>
      <c r="O89" s="3"/>
      <c r="P89" s="3"/>
      <c r="Q89" s="3"/>
      <c r="R89" s="3"/>
      <c r="S89" s="3"/>
      <c r="T89" s="3"/>
      <c r="U89" s="3"/>
      <c r="V89" s="3"/>
      <c r="W89" s="3"/>
      <c r="X89" s="3"/>
      <c r="Y89" s="3"/>
      <c r="Z89" s="3"/>
      <c r="AA89" s="3"/>
    </row>
    <row r="90">
      <c r="A90" s="3"/>
      <c r="B90" s="3"/>
      <c r="C90" s="3"/>
      <c r="D90" s="3"/>
      <c r="E90" s="3"/>
      <c r="F90" s="3"/>
      <c r="G90" s="3"/>
      <c r="H90" s="3"/>
      <c r="I90" s="3"/>
      <c r="J90" s="3"/>
      <c r="K90" s="3"/>
      <c r="L90" s="3"/>
      <c r="M90" s="3"/>
      <c r="N90" s="3"/>
      <c r="O90" s="3"/>
      <c r="P90" s="3"/>
      <c r="Q90" s="3"/>
      <c r="R90" s="3"/>
      <c r="S90" s="3"/>
      <c r="T90" s="3"/>
      <c r="U90" s="3"/>
      <c r="V90" s="3"/>
      <c r="W90" s="3"/>
      <c r="X90" s="3"/>
      <c r="Y90" s="3"/>
      <c r="Z90" s="3"/>
      <c r="AA90" s="3"/>
    </row>
    <row r="91">
      <c r="A91" s="3"/>
      <c r="B91" s="3"/>
      <c r="C91" s="3"/>
      <c r="D91" s="3"/>
      <c r="E91" s="3"/>
      <c r="F91" s="3"/>
      <c r="G91" s="3"/>
      <c r="H91" s="3"/>
      <c r="I91" s="3"/>
      <c r="J91" s="3"/>
      <c r="K91" s="3"/>
      <c r="L91" s="3"/>
      <c r="M91" s="3"/>
      <c r="N91" s="3"/>
      <c r="O91" s="3"/>
      <c r="P91" s="3"/>
      <c r="Q91" s="3"/>
      <c r="R91" s="3"/>
      <c r="S91" s="3"/>
      <c r="T91" s="3"/>
      <c r="U91" s="3"/>
      <c r="V91" s="3"/>
      <c r="W91" s="3"/>
      <c r="X91" s="3"/>
      <c r="Y91" s="3"/>
      <c r="Z91" s="3"/>
      <c r="AA91" s="3"/>
    </row>
    <row r="92">
      <c r="A92" s="3"/>
      <c r="B92" s="3"/>
      <c r="C92" s="3"/>
      <c r="D92" s="3"/>
      <c r="E92" s="3"/>
      <c r="F92" s="3"/>
      <c r="G92" s="3"/>
      <c r="H92" s="3"/>
      <c r="I92" s="3"/>
      <c r="J92" s="3"/>
      <c r="K92" s="3"/>
      <c r="L92" s="3"/>
      <c r="M92" s="3"/>
      <c r="N92" s="3"/>
      <c r="O92" s="3"/>
      <c r="P92" s="3"/>
      <c r="Q92" s="3"/>
      <c r="R92" s="3"/>
      <c r="S92" s="3"/>
      <c r="T92" s="3"/>
      <c r="U92" s="3"/>
      <c r="V92" s="3"/>
      <c r="W92" s="3"/>
      <c r="X92" s="3"/>
      <c r="Y92" s="3"/>
      <c r="Z92" s="3"/>
      <c r="AA92" s="3"/>
    </row>
    <row r="93">
      <c r="A93" s="3"/>
      <c r="B93" s="3"/>
      <c r="C93" s="3"/>
      <c r="D93" s="3"/>
      <c r="E93" s="3"/>
      <c r="F93" s="3"/>
      <c r="G93" s="3"/>
      <c r="H93" s="3"/>
      <c r="I93" s="3"/>
      <c r="J93" s="3"/>
      <c r="K93" s="3"/>
      <c r="L93" s="3"/>
      <c r="M93" s="3"/>
      <c r="N93" s="3"/>
      <c r="O93" s="3"/>
      <c r="P93" s="3"/>
      <c r="Q93" s="3"/>
      <c r="R93" s="3"/>
      <c r="S93" s="3"/>
      <c r="T93" s="3"/>
      <c r="U93" s="3"/>
      <c r="V93" s="3"/>
      <c r="W93" s="3"/>
      <c r="X93" s="3"/>
      <c r="Y93" s="3"/>
      <c r="Z93" s="3"/>
      <c r="AA93" s="3"/>
    </row>
    <row r="94">
      <c r="A94" s="3"/>
      <c r="B94" s="3"/>
      <c r="C94" s="3"/>
      <c r="D94" s="3"/>
      <c r="E94" s="3"/>
      <c r="F94" s="3"/>
      <c r="G94" s="3"/>
      <c r="H94" s="3"/>
      <c r="I94" s="3"/>
      <c r="J94" s="3"/>
      <c r="K94" s="3"/>
      <c r="L94" s="3"/>
      <c r="M94" s="3"/>
      <c r="N94" s="3"/>
      <c r="O94" s="3"/>
      <c r="P94" s="3"/>
      <c r="Q94" s="3"/>
      <c r="R94" s="3"/>
      <c r="S94" s="3"/>
      <c r="T94" s="3"/>
      <c r="U94" s="3"/>
      <c r="V94" s="3"/>
      <c r="W94" s="3"/>
      <c r="X94" s="3"/>
      <c r="Y94" s="3"/>
      <c r="Z94" s="3"/>
      <c r="AA94" s="3"/>
    </row>
    <row r="95">
      <c r="A95" s="3"/>
      <c r="B95" s="3"/>
      <c r="C95" s="3"/>
      <c r="D95" s="3"/>
      <c r="E95" s="3"/>
      <c r="F95" s="3"/>
      <c r="G95" s="3"/>
      <c r="H95" s="3"/>
      <c r="I95" s="3"/>
      <c r="J95" s="3"/>
      <c r="K95" s="3"/>
      <c r="L95" s="3"/>
      <c r="M95" s="3"/>
      <c r="N95" s="3"/>
      <c r="O95" s="3"/>
      <c r="P95" s="3"/>
      <c r="Q95" s="3"/>
      <c r="R95" s="3"/>
      <c r="S95" s="3"/>
      <c r="T95" s="3"/>
      <c r="U95" s="3"/>
      <c r="V95" s="3"/>
      <c r="W95" s="3"/>
      <c r="X95" s="3"/>
      <c r="Y95" s="3"/>
      <c r="Z95" s="3"/>
      <c r="AA95" s="3"/>
    </row>
    <row r="96">
      <c r="A96" s="3"/>
      <c r="B96" s="3"/>
      <c r="C96" s="3"/>
      <c r="D96" s="3"/>
      <c r="E96" s="3"/>
      <c r="F96" s="3"/>
      <c r="G96" s="3"/>
      <c r="H96" s="3"/>
      <c r="I96" s="3"/>
      <c r="J96" s="3"/>
      <c r="K96" s="3"/>
      <c r="L96" s="3"/>
      <c r="M96" s="3"/>
      <c r="N96" s="3"/>
      <c r="O96" s="3"/>
      <c r="P96" s="3"/>
      <c r="Q96" s="3"/>
      <c r="R96" s="3"/>
      <c r="S96" s="3"/>
      <c r="T96" s="3"/>
      <c r="U96" s="3"/>
      <c r="V96" s="3"/>
      <c r="W96" s="3"/>
      <c r="X96" s="3"/>
      <c r="Y96" s="3"/>
      <c r="Z96" s="3"/>
      <c r="AA96" s="3"/>
    </row>
    <row r="97">
      <c r="A97" s="3"/>
      <c r="B97" s="3"/>
      <c r="C97" s="3"/>
      <c r="D97" s="3"/>
      <c r="E97" s="3"/>
      <c r="F97" s="3"/>
      <c r="G97" s="3"/>
      <c r="H97" s="3"/>
      <c r="I97" s="3"/>
      <c r="J97" s="3"/>
      <c r="K97" s="3"/>
      <c r="L97" s="3"/>
      <c r="M97" s="3"/>
      <c r="N97" s="3"/>
      <c r="O97" s="3"/>
      <c r="P97" s="3"/>
      <c r="Q97" s="3"/>
      <c r="R97" s="3"/>
      <c r="S97" s="3"/>
      <c r="T97" s="3"/>
      <c r="U97" s="3"/>
      <c r="V97" s="3"/>
      <c r="W97" s="3"/>
      <c r="X97" s="3"/>
      <c r="Y97" s="3"/>
      <c r="Z97" s="3"/>
      <c r="AA97" s="3"/>
    </row>
    <row r="98">
      <c r="A98" s="3"/>
      <c r="B98" s="3"/>
      <c r="C98" s="3"/>
      <c r="D98" s="3"/>
      <c r="E98" s="3"/>
      <c r="F98" s="3"/>
      <c r="G98" s="3"/>
      <c r="H98" s="3"/>
      <c r="I98" s="3"/>
      <c r="J98" s="3"/>
      <c r="K98" s="3"/>
      <c r="L98" s="3"/>
      <c r="M98" s="3"/>
      <c r="N98" s="3"/>
      <c r="O98" s="3"/>
      <c r="P98" s="3"/>
      <c r="Q98" s="3"/>
      <c r="R98" s="3"/>
      <c r="S98" s="3"/>
      <c r="T98" s="3"/>
      <c r="U98" s="3"/>
      <c r="V98" s="3"/>
      <c r="W98" s="3"/>
      <c r="X98" s="3"/>
      <c r="Y98" s="3"/>
      <c r="Z98" s="3"/>
      <c r="AA98" s="3"/>
    </row>
    <row r="99">
      <c r="A99" s="3"/>
      <c r="B99" s="3"/>
      <c r="C99" s="3"/>
      <c r="D99" s="3"/>
      <c r="E99" s="3"/>
      <c r="F99" s="3"/>
      <c r="G99" s="3"/>
      <c r="H99" s="3"/>
      <c r="I99" s="3"/>
      <c r="J99" s="3"/>
      <c r="K99" s="3"/>
      <c r="L99" s="3"/>
      <c r="M99" s="3"/>
      <c r="N99" s="3"/>
      <c r="O99" s="3"/>
      <c r="P99" s="3"/>
      <c r="Q99" s="3"/>
      <c r="R99" s="3"/>
      <c r="S99" s="3"/>
      <c r="T99" s="3"/>
      <c r="U99" s="3"/>
      <c r="V99" s="3"/>
      <c r="W99" s="3"/>
      <c r="X99" s="3"/>
      <c r="Y99" s="3"/>
      <c r="Z99" s="3"/>
      <c r="AA99" s="3"/>
    </row>
    <row r="100">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row>
    <row r="119">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row>
    <row r="120">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row>
    <row r="12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row>
    <row r="12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row>
    <row r="123">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row>
    <row r="124">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row>
    <row r="1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row>
    <row r="126">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row>
    <row r="130">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row>
    <row r="13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row>
    <row r="133">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row>
    <row r="134">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row>
    <row r="13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row>
    <row r="136">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row>
    <row r="137">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row>
    <row r="138">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row>
    <row r="139">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row>
    <row r="140">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row>
    <row r="14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row>
    <row r="14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row>
    <row r="143">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row>
    <row r="14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row>
    <row r="147">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row>
    <row r="148">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row>
    <row r="149">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row>
    <row r="150">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row>
    <row r="15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row>
    <row r="154">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row>
    <row r="17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row>
    <row r="173">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row>
    <row r="174">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row>
    <row r="17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row>
    <row r="176">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row>
    <row r="177">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row>
    <row r="178">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row>
    <row r="179">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row>
    <row r="180">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row>
    <row r="18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row>
    <row r="18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row>
    <row r="183">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row>
    <row r="184">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row>
    <row r="18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row>
    <row r="186">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row>
    <row r="187">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row>
    <row r="188">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row>
    <row r="19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row>
    <row r="19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row>
    <row r="196">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row>
    <row r="197">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row>
    <row r="198">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row>
    <row r="199">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row>
    <row r="20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row>
    <row r="2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row>
    <row r="204">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row>
    <row r="20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row>
    <row r="21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row>
    <row r="213">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row>
    <row r="214">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row>
    <row r="21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row>
    <row r="216">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row>
    <row r="217">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row>
    <row r="218">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row>
    <row r="219">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row>
    <row r="220">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row>
    <row r="22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row r="1000">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row>
    <row r="1001">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row>
    <row r="10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row>
    <row r="1003">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row>
    <row r="1004">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row>
    <row r="1005">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row>
    <row r="1006">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c r="AA1006" s="3"/>
    </row>
    <row r="1007">
      <c r="A1007" s="3"/>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c r="AA1007" s="3"/>
    </row>
    <row r="1008">
      <c r="A1008" s="3"/>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c r="AA1008" s="3"/>
    </row>
    <row r="1009">
      <c r="A1009" s="3"/>
      <c r="B1009" s="3"/>
      <c r="C1009" s="23"/>
      <c r="D1009" s="3"/>
      <c r="E1009" s="3"/>
      <c r="F1009" s="3"/>
      <c r="G1009" s="3"/>
      <c r="H1009" s="3"/>
      <c r="I1009" s="3"/>
      <c r="J1009" s="3"/>
      <c r="K1009" s="3"/>
      <c r="L1009" s="3"/>
      <c r="M1009" s="3"/>
      <c r="N1009" s="3"/>
      <c r="O1009" s="3"/>
      <c r="P1009" s="3"/>
      <c r="Q1009" s="3"/>
      <c r="R1009" s="3"/>
      <c r="S1009" s="3"/>
      <c r="T1009" s="3"/>
      <c r="U1009" s="3"/>
      <c r="V1009" s="3"/>
      <c r="W1009" s="3"/>
      <c r="X1009" s="3"/>
      <c r="Y1009" s="3"/>
      <c r="Z1009" s="3"/>
      <c r="AA1009" s="3"/>
    </row>
  </sheetData>
  <mergeCells count="7">
    <mergeCell ref="A1:E1"/>
    <mergeCell ref="B2:E2"/>
    <mergeCell ref="B3:E3"/>
    <mergeCell ref="B4:E4"/>
    <mergeCell ref="A6:E6"/>
    <mergeCell ref="B8:B14"/>
    <mergeCell ref="B15:B24"/>
  </mergeCells>
  <hyperlinks>
    <hyperlink display="Popolazione residente" location="'Indicatore 1_popolazione reside'!A1" ref="C8"/>
    <hyperlink display="Densità della popolazione" location="'Indicatore 2_densità popolazion'!A1" ref="C9"/>
    <hyperlink display="Struttura demografica della popolazione" location="'Indicatore 3_struttura demograf'!A1" ref="C10"/>
    <hyperlink display="Cittadini stranieri residenti" location="'Indicatore 4_cittadini stranie'!A1" ref="C11"/>
    <hyperlink display="Popolazione straniera per provenienza" location="'Indicatore 5_Pop straniera per '!A1" ref="C12"/>
    <hyperlink display="Minori stranieri residenti" location="'Indicatore 6_Minori stranieri'!A1" ref="C13"/>
    <hyperlink display="Stranieri residenti ogni 100 residenti" location="'Indicatore 7_Stranieri ogni 10'!A1" ref="C14"/>
    <hyperlink display="Tasso di mortalità" location="'Indicatore 8_tasso di mortalità'!A1" ref="C15"/>
    <hyperlink display="Tasso di natalità" location="'Indicatore 9_tasso di natalità'!A1" ref="C16"/>
    <hyperlink display="Tasso di fecondità" location="'Indicatore 10_ tasso di fecondi'!A1" ref="C17"/>
    <hyperlink display="Saldo migratorio" location="'Indicatore 11_saldo migratorio'!A1" ref="C18"/>
    <hyperlink display="Età media delle donne al primo parto" location="'Indicatore 12_età media delle d'!A1" ref="C19"/>
    <hyperlink display="Numero medio di figli per donna" location="'Indicatore 13_Numero medio di f'!A1" ref="C20"/>
    <hyperlink display="Età media " location="'Indicatore 14_età media'!A1" ref="C21"/>
    <hyperlink display="Indice di vecchiaia" location="'Indicatore 15_Indice di vecchia'!A1" ref="C22"/>
    <hyperlink display="Indice di dipendenza strutturale" location="'Indicatore 16_Indice dipendenza'!A1" ref="C23"/>
    <hyperlink display="Indice di dipendenza degli anziani" location="'Indicatore 17_Indice di dipende'!A1" ref="C24"/>
  </hyperlinks>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37" width="11.13"/>
  </cols>
  <sheetData>
    <row r="1" ht="15.75" customHeight="1">
      <c r="A1" s="142" t="s">
        <v>125</v>
      </c>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row>
    <row r="2" ht="15.75" customHeight="1">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row>
    <row r="3" ht="15.75" customHeight="1">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row>
    <row r="4" ht="15.75" customHeight="1">
      <c r="A4" s="103" t="s">
        <v>126</v>
      </c>
      <c r="B4" s="103">
        <v>2005.0</v>
      </c>
      <c r="C4" s="103">
        <v>2006.0</v>
      </c>
      <c r="D4" s="103">
        <v>2007.0</v>
      </c>
      <c r="E4" s="103">
        <v>2008.0</v>
      </c>
      <c r="F4" s="103">
        <v>2009.0</v>
      </c>
      <c r="G4" s="103">
        <v>2010.0</v>
      </c>
      <c r="H4" s="103">
        <v>2011.0</v>
      </c>
      <c r="I4" s="103">
        <v>2012.0</v>
      </c>
      <c r="J4" s="103">
        <v>2013.0</v>
      </c>
      <c r="K4" s="103">
        <v>2014.0</v>
      </c>
      <c r="L4" s="103">
        <v>2015.0</v>
      </c>
      <c r="M4" s="103">
        <v>2016.0</v>
      </c>
      <c r="N4" s="103">
        <v>2017.0</v>
      </c>
      <c r="O4" s="103">
        <v>2018.0</v>
      </c>
      <c r="P4" s="103">
        <v>2019.0</v>
      </c>
      <c r="Q4" s="103">
        <v>2020.0</v>
      </c>
      <c r="R4" s="103">
        <v>2021.0</v>
      </c>
      <c r="S4" s="103">
        <v>2022.0</v>
      </c>
      <c r="T4" s="103">
        <v>2023.0</v>
      </c>
      <c r="U4" s="103">
        <v>2024.0</v>
      </c>
      <c r="V4" s="24"/>
      <c r="W4" s="24"/>
      <c r="X4" s="24"/>
      <c r="Y4" s="24"/>
      <c r="Z4" s="24"/>
      <c r="AA4" s="24"/>
      <c r="AB4" s="24"/>
      <c r="AC4" s="24"/>
      <c r="AD4" s="24"/>
      <c r="AE4" s="24"/>
      <c r="AF4" s="24"/>
      <c r="AG4" s="24"/>
      <c r="AH4" s="24"/>
      <c r="AI4" s="24"/>
      <c r="AJ4" s="24"/>
      <c r="AK4" s="24"/>
    </row>
    <row r="5" ht="15.75" customHeight="1">
      <c r="A5" s="103" t="s">
        <v>42</v>
      </c>
      <c r="B5" s="108">
        <v>9.5</v>
      </c>
      <c r="C5" s="108">
        <v>9.6</v>
      </c>
      <c r="D5" s="108">
        <v>9.6</v>
      </c>
      <c r="E5" s="108">
        <v>9.7</v>
      </c>
      <c r="F5" s="108">
        <v>9.6</v>
      </c>
      <c r="G5" s="108">
        <v>9.4</v>
      </c>
      <c r="H5" s="108">
        <v>9.1</v>
      </c>
      <c r="I5" s="108">
        <v>8.9</v>
      </c>
      <c r="J5" s="108">
        <v>8.5</v>
      </c>
      <c r="K5" s="108">
        <v>8.3</v>
      </c>
      <c r="L5" s="108">
        <v>8.1</v>
      </c>
      <c r="M5" s="108">
        <v>7.9</v>
      </c>
      <c r="N5" s="108">
        <v>7.6</v>
      </c>
      <c r="O5" s="108">
        <v>7.3</v>
      </c>
      <c r="P5" s="108">
        <v>7.0</v>
      </c>
      <c r="Q5" s="108">
        <v>6.8</v>
      </c>
      <c r="R5" s="108">
        <v>6.8</v>
      </c>
      <c r="S5" s="108">
        <v>6.7</v>
      </c>
      <c r="T5" s="108">
        <v>6.4</v>
      </c>
      <c r="U5" s="108">
        <v>6.3</v>
      </c>
      <c r="V5" s="24"/>
      <c r="W5" s="24"/>
      <c r="X5" s="24"/>
      <c r="Y5" s="24"/>
      <c r="Z5" s="24"/>
      <c r="AA5" s="24"/>
      <c r="AB5" s="24"/>
      <c r="AC5" s="24"/>
      <c r="AD5" s="24"/>
      <c r="AE5" s="24"/>
      <c r="AF5" s="24"/>
      <c r="AG5" s="24"/>
      <c r="AH5" s="24"/>
      <c r="AI5" s="24"/>
      <c r="AJ5" s="24"/>
      <c r="AK5" s="24"/>
    </row>
    <row r="6" ht="15.75" customHeight="1">
      <c r="A6" s="103" t="s">
        <v>43</v>
      </c>
      <c r="B6" s="108">
        <v>9.9</v>
      </c>
      <c r="C6" s="108">
        <v>10.1</v>
      </c>
      <c r="D6" s="108">
        <v>10.2</v>
      </c>
      <c r="E6" s="108">
        <v>10.3</v>
      </c>
      <c r="F6" s="108">
        <v>10.3</v>
      </c>
      <c r="G6" s="108">
        <v>10.1</v>
      </c>
      <c r="H6" s="108">
        <v>9.6</v>
      </c>
      <c r="I6" s="108">
        <v>9.3</v>
      </c>
      <c r="J6" s="108">
        <v>8.9</v>
      </c>
      <c r="K6" s="108">
        <v>8.7</v>
      </c>
      <c r="L6" s="108">
        <v>8.5</v>
      </c>
      <c r="M6" s="108">
        <v>8.2</v>
      </c>
      <c r="N6" s="108">
        <v>7.9</v>
      </c>
      <c r="O6" s="108">
        <v>7.6</v>
      </c>
      <c r="P6" s="108">
        <v>7.3</v>
      </c>
      <c r="Q6" s="108">
        <v>6.9</v>
      </c>
      <c r="R6" s="108">
        <v>6.9</v>
      </c>
      <c r="S6" s="108">
        <v>6.8</v>
      </c>
      <c r="T6" s="108">
        <v>6.6</v>
      </c>
      <c r="U6" s="108">
        <v>6.4</v>
      </c>
      <c r="V6" s="24"/>
      <c r="W6" s="24"/>
      <c r="X6" s="24"/>
      <c r="Y6" s="24"/>
      <c r="Z6" s="24"/>
      <c r="AA6" s="24"/>
      <c r="AB6" s="24"/>
      <c r="AC6" s="24"/>
      <c r="AD6" s="24"/>
      <c r="AE6" s="24"/>
      <c r="AF6" s="24"/>
      <c r="AG6" s="24"/>
      <c r="AH6" s="24"/>
      <c r="AI6" s="24"/>
      <c r="AJ6" s="24"/>
      <c r="AK6" s="24"/>
    </row>
    <row r="7" ht="15.75" customHeight="1">
      <c r="A7" s="103" t="s">
        <v>44</v>
      </c>
      <c r="B7" s="108">
        <v>10.5</v>
      </c>
      <c r="C7" s="108">
        <v>11.0</v>
      </c>
      <c r="D7" s="108">
        <v>11.2</v>
      </c>
      <c r="E7" s="108">
        <v>11.2</v>
      </c>
      <c r="F7" s="108">
        <v>11.1</v>
      </c>
      <c r="G7" s="108">
        <v>11.0</v>
      </c>
      <c r="H7" s="108">
        <v>10.3</v>
      </c>
      <c r="I7" s="108">
        <v>9.7</v>
      </c>
      <c r="J7" s="108">
        <v>9.2</v>
      </c>
      <c r="K7" s="108">
        <v>8.9</v>
      </c>
      <c r="L7" s="108">
        <v>8.8</v>
      </c>
      <c r="M7" s="108">
        <v>8.4</v>
      </c>
      <c r="N7" s="108">
        <v>8.1</v>
      </c>
      <c r="O7" s="108">
        <v>7.8</v>
      </c>
      <c r="P7" s="108">
        <v>7.5</v>
      </c>
      <c r="Q7" s="108">
        <v>7.2</v>
      </c>
      <c r="R7" s="108">
        <v>7.0</v>
      </c>
      <c r="S7" s="108">
        <v>6.9</v>
      </c>
      <c r="T7" s="108">
        <v>6.8</v>
      </c>
      <c r="U7" s="108">
        <v>6.6</v>
      </c>
      <c r="V7" s="24"/>
      <c r="W7" s="24"/>
      <c r="X7" s="24"/>
      <c r="Y7" s="24"/>
      <c r="Z7" s="24"/>
      <c r="AA7" s="24"/>
      <c r="AB7" s="24"/>
      <c r="AC7" s="24"/>
      <c r="AD7" s="24"/>
      <c r="AE7" s="24"/>
      <c r="AF7" s="24"/>
      <c r="AG7" s="24"/>
      <c r="AH7" s="24"/>
      <c r="AI7" s="24"/>
      <c r="AJ7" s="24"/>
      <c r="AK7" s="24"/>
    </row>
    <row r="8" ht="15.75" customHeight="1">
      <c r="A8" s="49" t="s">
        <v>45</v>
      </c>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row>
    <row r="9" ht="15.75" customHeight="1">
      <c r="A9" s="24" t="s">
        <v>127</v>
      </c>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row>
    <row r="10" ht="15.75" customHeight="1">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row>
    <row r="11" ht="15.75" customHeight="1">
      <c r="A11" s="24"/>
      <c r="B11" s="24"/>
      <c r="C11" s="24"/>
      <c r="D11" s="24"/>
      <c r="E11" s="24"/>
      <c r="F11" s="24"/>
      <c r="G11" s="24"/>
      <c r="H11" s="24"/>
      <c r="I11" s="24"/>
      <c r="J11" s="24"/>
      <c r="K11" s="24"/>
      <c r="L11" s="24"/>
      <c r="M11" s="24"/>
      <c r="N11" s="143"/>
      <c r="O11" s="24"/>
      <c r="P11" s="24"/>
      <c r="Q11" s="24"/>
      <c r="R11" s="24"/>
      <c r="S11" s="24"/>
      <c r="T11" s="24"/>
      <c r="U11" s="24"/>
      <c r="V11" s="24"/>
      <c r="W11" s="24"/>
      <c r="X11" s="24"/>
      <c r="Y11" s="24"/>
      <c r="Z11" s="24"/>
      <c r="AA11" s="24"/>
      <c r="AB11" s="24"/>
      <c r="AC11" s="24"/>
      <c r="AD11" s="24"/>
      <c r="AE11" s="24"/>
      <c r="AF11" s="24"/>
      <c r="AG11" s="24"/>
      <c r="AH11" s="24"/>
      <c r="AI11" s="24"/>
      <c r="AJ11" s="24"/>
      <c r="AK11" s="24"/>
    </row>
    <row r="12" ht="15.75" customHeight="1">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row>
    <row r="13" ht="15.75" customHeight="1">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row>
    <row r="14" ht="15.75" customHeight="1">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row>
    <row r="15" ht="15.75" customHeight="1">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row>
    <row r="16" ht="15.75" customHeight="1">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row>
    <row r="17" ht="15.75" customHeight="1">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row>
    <row r="18" ht="15.75" customHeight="1">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row>
    <row r="19" ht="15.75" customHeight="1">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row>
    <row r="20" ht="15.75" customHeight="1">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row>
    <row r="21" ht="15.75" customHeight="1">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row>
    <row r="22" ht="15.7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row>
    <row r="23" ht="15.7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row>
    <row r="24" ht="15.75" customHeight="1">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row>
    <row r="25"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row>
    <row r="26"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row>
    <row r="27"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row>
    <row r="28"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row>
    <row r="29"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row>
    <row r="30"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row>
    <row r="31"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row>
    <row r="32"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row>
    <row r="33"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row>
    <row r="34"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row>
    <row r="35"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row>
    <row r="36"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row>
    <row r="37"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row>
    <row r="38"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row>
    <row r="3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row>
    <row r="40"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row>
    <row r="41"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row>
    <row r="42"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row>
    <row r="43"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row>
    <row r="44"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row>
    <row r="45"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row>
    <row r="46"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row>
    <row r="47"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row>
    <row r="4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row>
    <row r="4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row>
    <row r="50"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row>
    <row r="51"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row>
    <row r="52"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row>
    <row r="53"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row>
    <row r="54"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row>
    <row r="55"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row>
    <row r="56"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row>
    <row r="57"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row>
    <row r="5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row>
    <row r="5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row>
    <row r="60"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row>
    <row r="61"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row>
    <row r="62"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row>
    <row r="63"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row>
    <row r="64"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row>
    <row r="65"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row>
    <row r="66"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row>
    <row r="67"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row>
    <row r="6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row>
    <row r="6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row>
    <row r="70"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row>
    <row r="71"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row>
    <row r="72"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row>
    <row r="73"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row>
    <row r="74"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row>
    <row r="75"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row>
    <row r="76"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row>
    <row r="77"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row>
    <row r="7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row>
    <row r="7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row>
    <row r="80"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row>
    <row r="81"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row>
    <row r="82"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row>
    <row r="83"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row>
    <row r="84"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row>
    <row r="85"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row>
    <row r="86"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row>
    <row r="87"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row>
    <row r="8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row>
    <row r="8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row>
    <row r="90"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row>
    <row r="91"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row>
    <row r="92"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row>
    <row r="93"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row>
    <row r="94"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row>
    <row r="95"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row>
    <row r="96"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row>
    <row r="97"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row>
    <row r="9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row>
    <row r="9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row>
    <row r="100"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row>
    <row r="101"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row>
    <row r="102"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row>
    <row r="103"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row>
    <row r="104"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row>
    <row r="105"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row>
    <row r="106"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row>
    <row r="107"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row>
    <row r="10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row>
    <row r="10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row>
    <row r="110"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row>
    <row r="111"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row>
    <row r="112"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row>
    <row r="113"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row>
    <row r="114"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row>
    <row r="115"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row>
    <row r="116"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row>
    <row r="117"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row>
    <row r="11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row>
    <row r="11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row>
    <row r="120"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row>
    <row r="121"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row>
    <row r="122"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row>
    <row r="123"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row>
    <row r="124"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row>
    <row r="125"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row>
    <row r="126"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row>
    <row r="127"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row>
    <row r="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row>
    <row r="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row>
    <row r="130"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row>
    <row r="131"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row>
    <row r="132"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row>
    <row r="133"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row>
    <row r="134"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row>
    <row r="135"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row>
    <row r="136"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row>
    <row r="137"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row>
    <row r="13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row>
    <row r="13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row>
    <row r="140"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row>
    <row r="141"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row>
    <row r="142"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row>
    <row r="143"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row>
    <row r="144"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row>
    <row r="145"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row>
    <row r="146"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row>
    <row r="147"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row>
    <row r="14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row>
    <row r="14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row>
    <row r="150"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row>
    <row r="151"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row>
    <row r="152"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row>
    <row r="153"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row>
    <row r="154"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row>
    <row r="155"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row>
    <row r="156"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row>
    <row r="157"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row>
    <row r="15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row>
    <row r="15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row>
    <row r="160"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row>
    <row r="161"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row>
    <row r="162"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row>
    <row r="163"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row>
    <row r="164"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row>
    <row r="165"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row>
    <row r="166"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row>
    <row r="167"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row>
    <row r="16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row>
    <row r="16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row>
    <row r="170"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row>
    <row r="171"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row>
    <row r="172"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row>
    <row r="173"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row>
    <row r="174"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row>
    <row r="175"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row>
    <row r="176"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row>
    <row r="177"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row>
    <row r="17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row>
    <row r="17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row>
    <row r="180"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row>
    <row r="181"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row>
    <row r="182"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row>
    <row r="183"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row>
    <row r="184"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row>
    <row r="185"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row>
    <row r="186"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row>
    <row r="187"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row>
    <row r="18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row>
    <row r="18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row>
    <row r="190"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row>
    <row r="191"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row>
    <row r="192"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row>
    <row r="193"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row>
    <row r="194"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row>
    <row r="195"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row>
    <row r="196"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row>
    <row r="197"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row>
    <row r="198"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row>
    <row r="199"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row>
    <row r="200"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row>
    <row r="201"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row>
    <row r="202"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row>
    <row r="203"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row>
    <row r="204"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row>
    <row r="205"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row>
    <row r="206"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row>
    <row r="207"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row>
    <row r="208"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row>
    <row r="209"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row>
    <row r="210"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row>
    <row r="211"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row>
    <row r="212"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row>
    <row r="213"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row>
    <row r="214"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row>
    <row r="215"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row>
    <row r="216"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row>
    <row r="217"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row>
    <row r="218"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row>
    <row r="219"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row>
    <row r="220"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row>
    <row r="221"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row>
    <row r="222"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row>
    <row r="223"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row>
    <row r="224"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row>
    <row r="225"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row>
    <row r="226"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row>
    <row r="227"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row>
    <row r="228"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row>
    <row r="229"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row>
    <row r="230"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row>
    <row r="231"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row>
    <row r="232"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row>
    <row r="233"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row>
    <row r="234"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row>
    <row r="235"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row>
    <row r="236"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row>
    <row r="237"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row>
    <row r="238"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row>
    <row r="239"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row>
    <row r="240"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row>
    <row r="241"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row>
    <row r="242"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row>
    <row r="243"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row>
    <row r="244"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row>
    <row r="245"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row>
    <row r="246"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row>
    <row r="247"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row>
    <row r="248"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row>
    <row r="249"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row>
    <row r="250"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row>
    <row r="251"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row>
    <row r="252"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row>
    <row r="253"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row>
    <row r="254"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row>
    <row r="255"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row>
    <row r="256"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row>
    <row r="257"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row>
    <row r="258"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row>
    <row r="259"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row>
    <row r="260"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row>
    <row r="261"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row>
    <row r="262"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row>
    <row r="263"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row>
    <row r="264"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row>
    <row r="265"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row>
    <row r="266"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row>
    <row r="267"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row>
    <row r="268"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row>
    <row r="269"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row>
    <row r="270"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row>
    <row r="271"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row>
    <row r="272"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row>
    <row r="273"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row>
    <row r="274"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row>
    <row r="275"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row>
    <row r="276"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row>
    <row r="277"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row>
    <row r="278"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row>
    <row r="279"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row>
    <row r="280"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row>
    <row r="281"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row>
    <row r="282"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row>
    <row r="283"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row>
    <row r="284"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row>
    <row r="285"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row>
    <row r="286"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row>
    <row r="287"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row>
    <row r="288"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row>
    <row r="289"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row>
    <row r="290"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row>
    <row r="291"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row>
    <row r="292"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row>
    <row r="293"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row>
    <row r="294"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row>
    <row r="295"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row>
    <row r="296"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row>
    <row r="297"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row>
    <row r="298"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row>
    <row r="299"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row>
    <row r="300"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row>
    <row r="301"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row>
    <row r="302"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row>
    <row r="303"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row>
    <row r="304"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row>
    <row r="305"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row>
    <row r="306"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row>
    <row r="307"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row>
    <row r="308"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row>
    <row r="309"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row>
    <row r="310"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row>
    <row r="311"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row>
    <row r="312"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row>
    <row r="313"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row>
    <row r="314"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row>
    <row r="315"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row>
    <row r="316"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row>
    <row r="317"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row>
    <row r="318"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row>
    <row r="319"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row>
    <row r="320"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row>
    <row r="321"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row>
    <row r="322"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row>
    <row r="323"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row>
    <row r="324"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row>
    <row r="325"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row>
    <row r="326"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row>
    <row r="327"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row>
    <row r="328"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row>
    <row r="329"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row>
    <row r="330"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row>
    <row r="331"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row>
    <row r="332"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row>
    <row r="333"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row>
    <row r="334"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row>
    <row r="335"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row>
    <row r="336"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row>
    <row r="337"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row>
    <row r="338"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row>
    <row r="339"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row>
    <row r="340"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row>
    <row r="341"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row>
    <row r="342"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row>
    <row r="343"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row>
    <row r="344"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row>
    <row r="345"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row>
    <row r="346"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row>
    <row r="347"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row>
    <row r="348"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row>
    <row r="349"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row>
    <row r="350"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row>
    <row r="351"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row>
    <row r="352"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row>
    <row r="353"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row>
    <row r="354"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row>
    <row r="355"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row>
    <row r="356"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row>
    <row r="357"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row>
    <row r="358"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row>
    <row r="359"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row>
    <row r="360"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row>
    <row r="361"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row>
    <row r="362"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row>
    <row r="363"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row>
    <row r="364"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row>
    <row r="365"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row>
    <row r="366"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row>
    <row r="367"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row>
    <row r="368"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row>
    <row r="369"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row>
    <row r="370"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row>
    <row r="371"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row>
    <row r="372"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row>
    <row r="373"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row>
    <row r="374"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row>
    <row r="375"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row>
    <row r="376"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row>
    <row r="377"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row>
    <row r="378"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row>
    <row r="379"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row>
    <row r="380"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row>
    <row r="381"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row>
    <row r="382"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row>
    <row r="383"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row>
    <row r="384"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row>
    <row r="385"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row>
    <row r="386"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row>
    <row r="387"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row>
    <row r="388"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row>
    <row r="389"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row>
    <row r="390"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row>
    <row r="391"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row>
    <row r="392"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row>
    <row r="394"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row>
    <row r="395"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row>
    <row r="396"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row>
    <row r="397"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row>
    <row r="398"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row>
    <row r="399"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row>
    <row r="400"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row>
    <row r="401"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row>
    <row r="402"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row>
    <row r="403"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row>
    <row r="404"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row>
    <row r="405"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row>
    <row r="406"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row>
    <row r="407"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row>
    <row r="408"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row>
    <row r="409"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row>
    <row r="410"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row>
    <row r="411"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row>
    <row r="412"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row>
    <row r="413"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row>
    <row r="414"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row>
    <row r="415"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row>
    <row r="416"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row>
    <row r="417"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row>
    <row r="418"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row>
    <row r="419"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row>
    <row r="420"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row>
    <row r="421"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row>
    <row r="422"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row>
    <row r="423"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row>
    <row r="424"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row>
    <row r="425"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row>
    <row r="426"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row>
    <row r="427"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row>
    <row r="428"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row>
    <row r="429"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row>
    <row r="430"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row>
    <row r="431"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row>
    <row r="432"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row>
    <row r="433"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row>
    <row r="434"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row>
    <row r="435"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row>
    <row r="436"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row>
    <row r="437"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row>
    <row r="438"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row>
    <row r="439"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row>
    <row r="440"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row>
    <row r="441"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row>
    <row r="442"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row>
    <row r="443"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row>
    <row r="444"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row>
    <row r="445"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row>
    <row r="446"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row>
    <row r="447"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row>
    <row r="448"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row>
    <row r="449"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row>
    <row r="450"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row>
    <row r="451"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row>
    <row r="452"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row>
    <row r="453"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row>
    <row r="454"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row>
    <row r="455"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row>
    <row r="456"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row>
    <row r="457"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row>
    <row r="458"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row>
    <row r="459"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row>
    <row r="460"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row>
    <row r="461"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row>
    <row r="462"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row>
    <row r="463"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row>
    <row r="464"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row>
    <row r="465"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row>
    <row r="466"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row>
    <row r="467"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row>
    <row r="468"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row>
    <row r="469"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row>
    <row r="470"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row>
    <row r="471"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row>
    <row r="472"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row>
    <row r="473"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row>
    <row r="474"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row>
    <row r="475"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row>
    <row r="476"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row>
    <row r="477"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row>
    <row r="478"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row>
    <row r="479"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row>
    <row r="480"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row>
    <row r="481"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row>
    <row r="482"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row>
    <row r="483"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row>
    <row r="484"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row>
    <row r="485"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row>
    <row r="486"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row>
    <row r="487"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row>
    <row r="488"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row>
    <row r="489"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row>
    <row r="490"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row>
    <row r="491"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row>
    <row r="492"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row>
    <row r="493"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row>
    <row r="494"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row>
    <row r="495"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row>
    <row r="496"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row>
    <row r="497"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row>
    <row r="498"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row>
    <row r="499"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row>
    <row r="500"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row>
    <row r="501"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row>
    <row r="502"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row>
    <row r="503"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row>
    <row r="504"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row>
    <row r="505"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row>
    <row r="506"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row>
    <row r="507"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row>
    <row r="508"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row>
    <row r="509"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row>
    <row r="510"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row>
    <row r="511"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row>
    <row r="512"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row>
    <row r="513"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row>
    <row r="514"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row>
    <row r="515"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row>
    <row r="516"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row>
    <row r="517"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row>
    <row r="518"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row>
    <row r="519"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row>
    <row r="520"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row>
    <row r="521"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row>
    <row r="522"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row>
    <row r="523"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row>
    <row r="524"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row>
    <row r="525"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row>
    <row r="526"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row>
    <row r="527"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row>
    <row r="528"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row>
    <row r="529"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row>
    <row r="530"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row>
    <row r="531"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row>
    <row r="532"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row>
    <row r="533"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row>
    <row r="534"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row>
    <row r="535"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row>
    <row r="536"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row>
    <row r="537"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row>
    <row r="538"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row>
    <row r="539"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row>
    <row r="540"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row>
    <row r="541"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row>
    <row r="542"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row>
    <row r="543"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row>
    <row r="544"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row>
    <row r="545"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row>
    <row r="546"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row>
    <row r="547"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row>
    <row r="548"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row>
    <row r="549"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row>
    <row r="550"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row>
    <row r="551"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row>
    <row r="552"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row>
    <row r="553"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row>
    <row r="554"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row>
    <row r="555"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row>
    <row r="556"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row>
    <row r="557"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row>
    <row r="558"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row>
    <row r="559"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row>
    <row r="560"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row>
    <row r="561"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row>
    <row r="562"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row>
    <row r="563"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row>
    <row r="564"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row>
    <row r="565"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row>
    <row r="566"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row>
    <row r="567"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row>
    <row r="568"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row>
    <row r="569"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row>
    <row r="570"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row>
    <row r="571"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row>
    <row r="572"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row>
    <row r="573"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row>
    <row r="574"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row>
    <row r="575"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row>
    <row r="576"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row>
    <row r="577"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row>
    <row r="578"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row>
    <row r="579"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row>
    <row r="580"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row>
    <row r="581"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row>
    <row r="582"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row>
    <row r="583"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row>
    <row r="584"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row>
    <row r="585"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row>
    <row r="586"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row>
    <row r="587"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row>
    <row r="588"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row>
    <row r="589"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row>
    <row r="590"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row>
    <row r="591"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row>
    <row r="592"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row>
    <row r="593"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row>
    <row r="594"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row>
    <row r="595"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row>
    <row r="596"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row>
    <row r="597"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row>
    <row r="598"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row>
    <row r="599"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row>
    <row r="600"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row>
    <row r="601"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row>
    <row r="602"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row>
    <row r="603"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row>
    <row r="604"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row>
    <row r="605"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row>
    <row r="606"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row>
    <row r="607"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row>
    <row r="608"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row>
    <row r="609"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row>
    <row r="610"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row>
    <row r="611"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row>
    <row r="612"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row>
    <row r="613"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row>
    <row r="614"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row>
    <row r="615"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row>
    <row r="616"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row>
    <row r="617"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row>
    <row r="618"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row>
    <row r="619"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row>
    <row r="620"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row>
    <row r="621"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row>
    <row r="622"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row>
    <row r="623"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row>
    <row r="624"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row>
    <row r="625"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row>
    <row r="626"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row>
    <row r="627"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row>
    <row r="628"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row>
    <row r="629"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row>
    <row r="630"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row>
    <row r="631"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row>
    <row r="632"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row>
    <row r="633"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row>
    <row r="634"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row>
    <row r="635"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row>
    <row r="636"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row>
    <row r="637"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row>
    <row r="638"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row>
    <row r="639"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row>
    <row r="640"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row>
    <row r="641"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row>
    <row r="642"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row>
    <row r="643"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row>
    <row r="644"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row>
    <row r="645"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row>
    <row r="646"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row>
    <row r="647"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row>
    <row r="648"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row>
    <row r="649"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row>
    <row r="650"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row>
    <row r="651"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row>
    <row r="652"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row>
    <row r="653"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row>
    <row r="654"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row>
    <row r="655"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row>
    <row r="656"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row>
    <row r="657"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row>
    <row r="658"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row>
    <row r="659"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row>
    <row r="660"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row>
    <row r="661"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row>
    <row r="662"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row>
    <row r="663"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row>
    <row r="664"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row>
    <row r="665"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row>
    <row r="666"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row>
    <row r="667"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row>
    <row r="668"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row>
    <row r="669"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row>
    <row r="670"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row>
    <row r="671"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row>
    <row r="672"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row>
    <row r="673"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row>
    <row r="674"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row>
    <row r="675"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row>
    <row r="676"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row>
    <row r="677"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row>
    <row r="678"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row>
    <row r="679"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row>
    <row r="680"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row>
    <row r="681"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row>
    <row r="682"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row>
    <row r="683"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row>
    <row r="684"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row>
    <row r="685"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row>
    <row r="686"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row>
    <row r="687"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row>
    <row r="688"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row>
    <row r="689"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row>
    <row r="690"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row>
    <row r="691"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row>
    <row r="692"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row>
    <row r="693"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row>
    <row r="694"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row>
    <row r="695"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row>
    <row r="696"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row>
    <row r="697"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row>
    <row r="698"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row>
    <row r="699"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row>
    <row r="700"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row>
    <row r="701"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row>
    <row r="702"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row>
    <row r="703"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row>
    <row r="704"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row>
    <row r="705"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row>
    <row r="706"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row>
    <row r="707"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row>
    <row r="708"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row>
    <row r="709"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row>
    <row r="710"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row>
    <row r="711"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row>
    <row r="712"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row>
    <row r="713"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row>
    <row r="714"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row>
    <row r="715"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row>
    <row r="716"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row>
    <row r="717"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row>
    <row r="718"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row>
    <row r="719"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row>
    <row r="720"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row>
    <row r="721"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row>
    <row r="722"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row>
    <row r="723"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row>
    <row r="724"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row>
    <row r="725"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row>
    <row r="726"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row>
    <row r="727"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row>
    <row r="728"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row>
    <row r="729"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row>
    <row r="730"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row>
    <row r="731"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row>
    <row r="732"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row>
    <row r="733"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row>
    <row r="734"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row>
    <row r="735"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row>
    <row r="736"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row>
    <row r="737"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row>
    <row r="738"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row>
    <row r="739"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row>
    <row r="740"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row>
    <row r="741"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row>
    <row r="742"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row>
    <row r="743"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row>
    <row r="744"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row>
    <row r="745"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row>
    <row r="746"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row>
    <row r="747"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row>
    <row r="748"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row>
    <row r="749"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row>
    <row r="750"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row>
    <row r="751"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row>
    <row r="752"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row>
    <row r="753"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row>
    <row r="754"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row>
    <row r="755"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row>
    <row r="756"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row>
    <row r="757"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row>
    <row r="758"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row>
    <row r="759"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row>
    <row r="760"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row>
    <row r="761"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row>
    <row r="762"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row>
    <row r="763"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row>
    <row r="764"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row>
    <row r="765"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row>
    <row r="766"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row>
    <row r="767"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row>
    <row r="768"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row>
    <row r="769"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row>
    <row r="770"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row>
    <row r="771"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row>
    <row r="772"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row>
    <row r="773"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row>
    <row r="774"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row>
    <row r="775"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row>
    <row r="776"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row>
    <row r="777"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row>
    <row r="778"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row>
    <row r="779"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row>
    <row r="780"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row>
    <row r="781"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row>
    <row r="782"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row>
    <row r="783"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row>
    <row r="784"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row>
    <row r="785"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row>
    <row r="786"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row>
    <row r="787"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row>
    <row r="788"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row>
    <row r="789"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row>
    <row r="790"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row>
    <row r="791"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row>
    <row r="792"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row>
    <row r="793"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row>
    <row r="794"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row>
    <row r="795"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row>
    <row r="796"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row>
    <row r="797"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row>
    <row r="798"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row>
    <row r="799"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row>
    <row r="800"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row>
    <row r="801"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row>
    <row r="802"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row>
    <row r="803"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row>
    <row r="804"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row>
    <row r="805"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row>
    <row r="806"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row>
    <row r="807"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row>
    <row r="808"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row>
    <row r="809"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row>
    <row r="810"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row>
    <row r="811"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row>
    <row r="812"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row>
    <row r="813"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row>
    <row r="814"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row>
    <row r="815"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row>
    <row r="816"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row>
    <row r="817"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row>
    <row r="818"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row>
    <row r="819"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row>
    <row r="820"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row>
    <row r="821"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row>
    <row r="822"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row>
    <row r="823"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row>
    <row r="824"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row>
    <row r="825"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row>
    <row r="826"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row>
    <row r="827"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row>
    <row r="828"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row>
    <row r="829"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row>
    <row r="830"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row>
    <row r="831"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row>
    <row r="832"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row>
    <row r="833"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row>
    <row r="834"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row>
    <row r="835"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row>
    <row r="836"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row>
    <row r="837"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row>
    <row r="838"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row>
    <row r="839"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row>
    <row r="840"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row>
    <row r="841"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row>
    <row r="842"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row>
    <row r="843"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row>
    <row r="844"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row>
    <row r="845"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row>
    <row r="846"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row>
    <row r="847"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row>
    <row r="848"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row>
    <row r="849"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row>
    <row r="850"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row>
    <row r="851"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row>
    <row r="852"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row>
    <row r="853"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row>
    <row r="854"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row>
    <row r="855"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row>
    <row r="856"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row>
    <row r="857"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row>
    <row r="858"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row>
    <row r="859"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row>
    <row r="860"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row>
    <row r="861"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row>
    <row r="862"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row>
    <row r="863"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row>
    <row r="864"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row>
    <row r="865"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row>
    <row r="866"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row>
    <row r="867"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row>
    <row r="868"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row>
    <row r="869"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row>
    <row r="870"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row>
    <row r="871"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row>
    <row r="872"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row>
    <row r="873"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row>
    <row r="874"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row>
    <row r="875"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row>
    <row r="876"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row>
    <row r="877"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row>
    <row r="878"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row>
    <row r="879"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row>
    <row r="880"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row>
    <row r="881"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row>
    <row r="882"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row>
    <row r="883"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row>
    <row r="884"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row>
    <row r="885"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row>
    <row r="886"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row>
    <row r="887"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row>
    <row r="888"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row>
    <row r="889"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row>
    <row r="890"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row>
    <row r="891"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row>
    <row r="892"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row>
    <row r="893"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row>
    <row r="894"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row>
    <row r="895"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row>
    <row r="896"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row>
    <row r="897"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row>
    <row r="898"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row>
    <row r="899"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row>
    <row r="900"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row>
    <row r="901"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row>
    <row r="902"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row>
    <row r="903"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row>
    <row r="904"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row>
    <row r="905"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row>
    <row r="906"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row>
    <row r="907"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row>
    <row r="908"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row>
    <row r="909"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row>
    <row r="910"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row>
    <row r="911"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row>
    <row r="912"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row>
    <row r="913"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row>
    <row r="914"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row>
    <row r="915"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row>
    <row r="916"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row>
    <row r="917"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row>
    <row r="918"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row>
    <row r="919"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row>
    <row r="920"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row>
    <row r="921"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row>
    <row r="922"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row>
    <row r="923"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row>
    <row r="924"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row>
    <row r="925"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row>
    <row r="926"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row>
    <row r="927"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row>
    <row r="928"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row>
    <row r="929"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row>
    <row r="930"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row>
    <row r="931"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row>
    <row r="932"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row>
    <row r="933"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row>
    <row r="934"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row>
    <row r="935"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row>
    <row r="936"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row>
    <row r="937"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row>
    <row r="938"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row>
    <row r="939"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row>
    <row r="940"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row>
    <row r="941"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row>
    <row r="942"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row>
    <row r="943"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row>
    <row r="944"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row>
    <row r="945"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row>
    <row r="946"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row>
    <row r="947"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row>
    <row r="948"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row>
    <row r="949"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row>
    <row r="950"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row>
    <row r="951"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row>
    <row r="952"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row>
    <row r="953"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row>
    <row r="954"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row>
    <row r="955"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row>
    <row r="956"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row>
    <row r="957"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row>
    <row r="958"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row>
    <row r="959"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row>
    <row r="960"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row>
    <row r="961"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row>
    <row r="962"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row>
    <row r="963"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row>
    <row r="964"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row>
    <row r="965"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row>
    <row r="966" ht="15.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row>
    <row r="967" ht="15.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row>
    <row r="968" ht="15.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row>
    <row r="969" ht="15.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row>
    <row r="970" ht="15.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row>
    <row r="971" ht="15.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row>
    <row r="972" ht="15.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row>
    <row r="973" ht="15.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row>
    <row r="974" ht="15.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row>
    <row r="975" ht="15.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row>
    <row r="976" ht="15.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row>
    <row r="977" ht="15.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row>
    <row r="978" ht="15.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row>
    <row r="979" ht="15.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row>
    <row r="980" ht="15.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row>
    <row r="981" ht="15.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row>
    <row r="982" ht="15.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row>
    <row r="983" ht="15.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row>
    <row r="984" ht="15.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row>
  </sheetData>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workbookViewId="0"/>
  </sheetViews>
  <sheetFormatPr customHeight="1" defaultColWidth="12.63" defaultRowHeight="15.0"/>
  <cols>
    <col customWidth="1" min="1" max="26" width="11.13"/>
  </cols>
  <sheetData>
    <row r="1" ht="15.0" customHeight="1">
      <c r="A1" s="142" t="s">
        <v>128</v>
      </c>
      <c r="B1" s="24"/>
      <c r="C1" s="24"/>
      <c r="D1" s="24"/>
      <c r="E1" s="24"/>
      <c r="F1" s="24"/>
      <c r="G1" s="24"/>
      <c r="H1" s="24"/>
      <c r="I1" s="24"/>
      <c r="J1" s="24"/>
      <c r="K1" s="24"/>
      <c r="L1" s="24"/>
      <c r="M1" s="24"/>
      <c r="N1" s="24"/>
      <c r="O1" s="24"/>
      <c r="P1" s="24"/>
      <c r="Q1" s="24"/>
      <c r="R1" s="24"/>
      <c r="S1" s="24"/>
      <c r="T1" s="24"/>
      <c r="U1" s="24"/>
      <c r="V1" s="24"/>
      <c r="W1" s="24"/>
      <c r="X1" s="24"/>
      <c r="Y1" s="24"/>
      <c r="Z1" s="24"/>
    </row>
    <row r="2" ht="15.0" customHeight="1">
      <c r="A2" s="24"/>
      <c r="B2" s="24"/>
      <c r="C2" s="24"/>
      <c r="D2" s="24"/>
      <c r="E2" s="24"/>
      <c r="F2" s="24"/>
      <c r="G2" s="24"/>
      <c r="H2" s="24"/>
      <c r="I2" s="24"/>
      <c r="J2" s="24"/>
      <c r="K2" s="24"/>
      <c r="L2" s="24"/>
      <c r="M2" s="24"/>
      <c r="N2" s="24"/>
      <c r="O2" s="24"/>
      <c r="P2" s="24"/>
      <c r="Q2" s="24"/>
      <c r="R2" s="24"/>
      <c r="S2" s="24"/>
      <c r="T2" s="24"/>
      <c r="U2" s="24"/>
      <c r="V2" s="24"/>
      <c r="W2" s="24"/>
      <c r="X2" s="24"/>
      <c r="Y2" s="24"/>
      <c r="Z2" s="24"/>
    </row>
    <row r="3" ht="15.0" customHeight="1">
      <c r="A3" s="25"/>
      <c r="B3" s="25">
        <v>2000.0</v>
      </c>
      <c r="C3" s="25">
        <v>2001.0</v>
      </c>
      <c r="D3" s="25">
        <v>2002.0</v>
      </c>
      <c r="E3" s="25">
        <v>2003.0</v>
      </c>
      <c r="F3" s="25">
        <v>2004.0</v>
      </c>
      <c r="G3" s="25">
        <v>2005.0</v>
      </c>
      <c r="H3" s="25">
        <v>2006.0</v>
      </c>
      <c r="I3" s="25">
        <v>2007.0</v>
      </c>
      <c r="J3" s="25">
        <v>2008.0</v>
      </c>
      <c r="K3" s="25">
        <v>2009.0</v>
      </c>
      <c r="L3" s="25">
        <v>2010.0</v>
      </c>
      <c r="M3" s="25">
        <v>2011.0</v>
      </c>
      <c r="N3" s="25">
        <v>2012.0</v>
      </c>
      <c r="O3" s="25">
        <v>2013.0</v>
      </c>
      <c r="P3" s="25">
        <v>2014.0</v>
      </c>
      <c r="Q3" s="25">
        <v>2015.0</v>
      </c>
      <c r="R3" s="25">
        <v>2016.0</v>
      </c>
      <c r="S3" s="25">
        <v>2017.0</v>
      </c>
      <c r="T3" s="25">
        <v>2018.0</v>
      </c>
      <c r="U3" s="25">
        <v>2019.0</v>
      </c>
      <c r="V3" s="25">
        <v>2020.0</v>
      </c>
      <c r="W3" s="25">
        <v>2021.0</v>
      </c>
      <c r="X3" s="25">
        <v>2022.0</v>
      </c>
      <c r="Y3" s="25">
        <v>2023.0</v>
      </c>
      <c r="Z3" s="25">
        <v>2023.0</v>
      </c>
    </row>
    <row r="4" ht="15.0" customHeight="1">
      <c r="A4" s="25" t="s">
        <v>42</v>
      </c>
      <c r="B4" s="25">
        <v>1.26</v>
      </c>
      <c r="C4" s="25">
        <v>1.25</v>
      </c>
      <c r="D4" s="25">
        <v>1.27</v>
      </c>
      <c r="E4" s="25">
        <v>1.29</v>
      </c>
      <c r="F4" s="25">
        <v>1.34</v>
      </c>
      <c r="G4" s="25">
        <v>1.33</v>
      </c>
      <c r="H4" s="25">
        <v>1.37</v>
      </c>
      <c r="I4" s="25">
        <v>1.39</v>
      </c>
      <c r="J4" s="25">
        <v>1.44</v>
      </c>
      <c r="K4" s="25">
        <v>1.44</v>
      </c>
      <c r="L4" s="25">
        <v>1.44</v>
      </c>
      <c r="M4" s="25">
        <v>1.42</v>
      </c>
      <c r="N4" s="25">
        <v>1.42</v>
      </c>
      <c r="O4" s="25">
        <v>1.39</v>
      </c>
      <c r="P4" s="25">
        <v>1.38</v>
      </c>
      <c r="Q4" s="25">
        <v>1.36</v>
      </c>
      <c r="R4" s="25">
        <v>1.36</v>
      </c>
      <c r="S4" s="25">
        <v>1.34</v>
      </c>
      <c r="T4" s="25">
        <v>1.31</v>
      </c>
      <c r="U4" s="25">
        <v>1.27</v>
      </c>
      <c r="V4" s="25">
        <v>1.24</v>
      </c>
      <c r="W4" s="25">
        <v>1.25</v>
      </c>
      <c r="X4" s="25">
        <v>1.24</v>
      </c>
      <c r="Y4" s="25">
        <v>1.2</v>
      </c>
      <c r="Z4" s="25">
        <v>1.2</v>
      </c>
    </row>
    <row r="5" ht="15.0" customHeight="1">
      <c r="A5" s="25" t="s">
        <v>43</v>
      </c>
      <c r="B5" s="25">
        <v>1.21</v>
      </c>
      <c r="C5" s="25">
        <v>1.22</v>
      </c>
      <c r="D5" s="25">
        <v>1.26</v>
      </c>
      <c r="E5" s="25">
        <v>1.27</v>
      </c>
      <c r="F5" s="25">
        <v>1.36</v>
      </c>
      <c r="G5" s="25">
        <v>1.37</v>
      </c>
      <c r="H5" s="25">
        <v>1.43</v>
      </c>
      <c r="I5" s="25">
        <v>1.47</v>
      </c>
      <c r="J5" s="25">
        <v>1.53</v>
      </c>
      <c r="K5" s="25">
        <v>1.56</v>
      </c>
      <c r="L5" s="25">
        <v>1.56</v>
      </c>
      <c r="M5" s="25">
        <v>1.52</v>
      </c>
      <c r="N5" s="25">
        <v>1.51</v>
      </c>
      <c r="O5" s="25">
        <v>1.47</v>
      </c>
      <c r="P5" s="25">
        <v>1.46</v>
      </c>
      <c r="Q5" s="25">
        <v>1.45</v>
      </c>
      <c r="R5" s="25">
        <v>1.43</v>
      </c>
      <c r="S5" s="25">
        <v>1.4</v>
      </c>
      <c r="T5" s="25">
        <v>1.36</v>
      </c>
      <c r="U5" s="25">
        <v>1.33</v>
      </c>
      <c r="V5" s="25">
        <v>1.27</v>
      </c>
      <c r="W5" s="25">
        <v>1.27</v>
      </c>
      <c r="X5" s="25">
        <v>1.25</v>
      </c>
      <c r="Y5" s="25">
        <v>1.21</v>
      </c>
      <c r="Z5" s="25">
        <v>1.21</v>
      </c>
    </row>
    <row r="6" ht="15.0" customHeight="1">
      <c r="A6" s="25" t="s">
        <v>44</v>
      </c>
      <c r="B6" s="25">
        <v>1.3</v>
      </c>
      <c r="C6" s="25">
        <v>1.33</v>
      </c>
      <c r="D6" s="25">
        <v>1.38</v>
      </c>
      <c r="E6" s="25">
        <v>1.36</v>
      </c>
      <c r="F6" s="25">
        <v>1.48</v>
      </c>
      <c r="G6" s="25">
        <v>1.45</v>
      </c>
      <c r="H6" s="25">
        <v>1.56</v>
      </c>
      <c r="I6" s="25">
        <v>1.61</v>
      </c>
      <c r="J6" s="25">
        <v>1.65</v>
      </c>
      <c r="K6" s="25">
        <v>1.67</v>
      </c>
      <c r="L6" s="25">
        <v>1.69</v>
      </c>
      <c r="M6" s="25">
        <v>1.61</v>
      </c>
      <c r="N6" s="25">
        <v>1.55</v>
      </c>
      <c r="O6" s="25">
        <v>1.51</v>
      </c>
      <c r="P6" s="25">
        <v>1.49</v>
      </c>
      <c r="Q6" s="25">
        <v>1.5</v>
      </c>
      <c r="R6" s="25">
        <v>1.46</v>
      </c>
      <c r="S6" s="25">
        <v>1.44</v>
      </c>
      <c r="T6" s="25">
        <v>1.4</v>
      </c>
      <c r="U6" s="25">
        <v>1.36</v>
      </c>
      <c r="V6" s="25">
        <v>1.33</v>
      </c>
      <c r="W6" s="25">
        <v>1.31</v>
      </c>
      <c r="X6" s="25">
        <v>1.3</v>
      </c>
      <c r="Y6" s="25">
        <v>1.28</v>
      </c>
      <c r="Z6" s="25">
        <v>1.28</v>
      </c>
    </row>
    <row r="7" ht="15.0" customHeight="1">
      <c r="A7" s="24" t="s">
        <v>129</v>
      </c>
      <c r="B7" s="50"/>
      <c r="C7" s="50"/>
      <c r="D7" s="50"/>
      <c r="E7" s="50"/>
      <c r="F7" s="50"/>
      <c r="G7" s="50"/>
      <c r="H7" s="50"/>
      <c r="I7" s="50"/>
      <c r="J7" s="50"/>
      <c r="K7" s="50"/>
      <c r="L7" s="50"/>
      <c r="M7" s="50"/>
      <c r="N7" s="50"/>
      <c r="O7" s="50"/>
      <c r="P7" s="50"/>
      <c r="Q7" s="50"/>
      <c r="R7" s="50"/>
      <c r="S7" s="50"/>
      <c r="T7" s="50"/>
      <c r="U7" s="50"/>
      <c r="V7" s="50"/>
      <c r="W7" s="50"/>
      <c r="X7" s="50"/>
      <c r="Y7" s="50"/>
      <c r="Z7" s="50"/>
    </row>
    <row r="8">
      <c r="A8" s="50"/>
      <c r="B8" s="50"/>
      <c r="C8" s="50"/>
      <c r="D8" s="50"/>
      <c r="E8" s="50"/>
      <c r="F8" s="50"/>
      <c r="G8" s="50"/>
      <c r="H8" s="50"/>
      <c r="I8" s="50"/>
      <c r="J8" s="50"/>
      <c r="K8" s="50"/>
      <c r="L8" s="50"/>
      <c r="M8" s="50"/>
      <c r="N8" s="50"/>
      <c r="O8" s="50"/>
      <c r="P8" s="50"/>
      <c r="Q8" s="50"/>
      <c r="R8" s="50"/>
      <c r="S8" s="50"/>
      <c r="T8" s="50"/>
      <c r="U8" s="50"/>
      <c r="V8" s="50"/>
      <c r="W8" s="50"/>
      <c r="X8" s="50"/>
      <c r="Y8" s="50"/>
      <c r="Z8" s="50"/>
    </row>
    <row r="9" ht="15.75" customHeight="1">
      <c r="A9" s="50"/>
      <c r="B9" s="50"/>
      <c r="C9" s="50"/>
      <c r="D9" s="50"/>
      <c r="E9" s="50"/>
      <c r="F9" s="50"/>
      <c r="G9" s="50"/>
      <c r="H9" s="50"/>
      <c r="I9" s="50"/>
      <c r="J9" s="50"/>
      <c r="K9" s="50"/>
      <c r="L9" s="50"/>
      <c r="M9" s="50"/>
      <c r="N9" s="50"/>
      <c r="O9" s="50"/>
      <c r="P9" s="50"/>
      <c r="Q9" s="50"/>
      <c r="R9" s="50"/>
      <c r="S9" s="50"/>
      <c r="T9" s="50"/>
      <c r="U9" s="50"/>
      <c r="V9" s="50"/>
      <c r="W9" s="50"/>
      <c r="X9" s="50"/>
      <c r="Y9" s="50"/>
      <c r="Z9" s="50"/>
    </row>
    <row r="10">
      <c r="A10" s="50"/>
      <c r="B10" s="50"/>
      <c r="C10" s="50"/>
      <c r="D10" s="50"/>
      <c r="E10" s="50"/>
      <c r="F10" s="50"/>
      <c r="G10" s="50"/>
      <c r="H10" s="50"/>
      <c r="I10" s="50"/>
      <c r="J10" s="50"/>
      <c r="K10" s="50"/>
      <c r="L10" s="50"/>
      <c r="M10" s="50"/>
      <c r="N10" s="50"/>
      <c r="O10" s="50"/>
      <c r="P10" s="50"/>
      <c r="Q10" s="50"/>
      <c r="R10" s="50"/>
      <c r="S10" s="50"/>
      <c r="T10" s="50"/>
      <c r="U10" s="50"/>
      <c r="V10" s="50"/>
      <c r="W10" s="50"/>
      <c r="X10" s="50"/>
      <c r="Y10" s="50"/>
      <c r="Z10" s="50"/>
    </row>
    <row r="11">
      <c r="A11" s="50"/>
      <c r="B11" s="50"/>
      <c r="C11" s="50"/>
      <c r="D11" s="50"/>
      <c r="E11" s="50"/>
      <c r="F11" s="50"/>
      <c r="G11" s="50"/>
      <c r="H11" s="50"/>
      <c r="I11" s="50"/>
      <c r="J11" s="50"/>
      <c r="K11" s="50"/>
      <c r="L11" s="50"/>
      <c r="M11" s="50"/>
      <c r="N11" s="50"/>
      <c r="O11" s="50"/>
      <c r="P11" s="50"/>
      <c r="Q11" s="50"/>
      <c r="R11" s="50"/>
      <c r="S11" s="50"/>
      <c r="T11" s="50"/>
      <c r="U11" s="50"/>
      <c r="V11" s="50"/>
      <c r="W11" s="50"/>
      <c r="X11" s="50"/>
      <c r="Y11" s="50"/>
      <c r="Z11" s="50"/>
    </row>
    <row r="12">
      <c r="A12" s="50"/>
      <c r="B12" s="50"/>
      <c r="C12" s="50"/>
      <c r="D12" s="50"/>
      <c r="E12" s="50"/>
      <c r="F12" s="50"/>
      <c r="G12" s="50"/>
      <c r="H12" s="50"/>
      <c r="I12" s="50"/>
      <c r="J12" s="50"/>
      <c r="K12" s="50"/>
      <c r="L12" s="50"/>
      <c r="M12" s="50"/>
      <c r="N12" s="50"/>
      <c r="O12" s="50"/>
      <c r="P12" s="50"/>
      <c r="Q12" s="50"/>
      <c r="R12" s="50"/>
      <c r="S12" s="50"/>
      <c r="T12" s="50"/>
      <c r="U12" s="50"/>
      <c r="V12" s="50"/>
      <c r="W12" s="50"/>
      <c r="X12" s="50"/>
      <c r="Y12" s="50"/>
      <c r="Z12" s="50"/>
    </row>
    <row r="13">
      <c r="A13" s="50"/>
      <c r="B13" s="50"/>
      <c r="C13" s="50"/>
      <c r="D13" s="50"/>
      <c r="E13" s="50"/>
      <c r="F13" s="50"/>
      <c r="G13" s="50"/>
      <c r="H13" s="50"/>
      <c r="I13" s="50"/>
      <c r="J13" s="50"/>
      <c r="K13" s="50"/>
      <c r="L13" s="50"/>
      <c r="M13" s="50"/>
      <c r="N13" s="50"/>
      <c r="O13" s="50"/>
      <c r="P13" s="50"/>
      <c r="Q13" s="50"/>
      <c r="R13" s="50"/>
      <c r="S13" s="50"/>
      <c r="T13" s="50"/>
      <c r="U13" s="50"/>
      <c r="V13" s="50"/>
      <c r="W13" s="50"/>
      <c r="X13" s="50"/>
      <c r="Y13" s="50"/>
      <c r="Z13" s="50"/>
    </row>
    <row r="14">
      <c r="A14" s="50"/>
      <c r="B14" s="24"/>
      <c r="C14" s="24"/>
      <c r="D14" s="24"/>
      <c r="E14" s="50"/>
      <c r="F14" s="50"/>
      <c r="G14" s="50"/>
      <c r="H14" s="50"/>
      <c r="I14" s="50"/>
      <c r="J14" s="50"/>
      <c r="K14" s="50"/>
      <c r="L14" s="50"/>
      <c r="M14" s="50"/>
      <c r="N14" s="50"/>
      <c r="O14" s="50"/>
      <c r="P14" s="50"/>
      <c r="Q14" s="50"/>
      <c r="R14" s="50"/>
      <c r="S14" s="50"/>
      <c r="T14" s="50"/>
      <c r="U14" s="50"/>
      <c r="V14" s="50"/>
      <c r="W14" s="50"/>
      <c r="X14" s="50"/>
      <c r="Y14" s="50"/>
      <c r="Z14" s="50"/>
    </row>
    <row r="15">
      <c r="A15" s="24"/>
      <c r="B15" s="109"/>
      <c r="C15" s="109"/>
      <c r="D15" s="109"/>
      <c r="E15" s="50"/>
      <c r="F15" s="50"/>
      <c r="G15" s="50"/>
      <c r="H15" s="50"/>
      <c r="I15" s="50"/>
      <c r="J15" s="50"/>
      <c r="K15" s="50"/>
      <c r="L15" s="50"/>
      <c r="M15" s="50"/>
      <c r="N15" s="50"/>
      <c r="O15" s="50"/>
      <c r="P15" s="50"/>
      <c r="Q15" s="50"/>
      <c r="R15" s="50"/>
      <c r="S15" s="50"/>
      <c r="T15" s="50"/>
      <c r="U15" s="50"/>
      <c r="V15" s="50"/>
      <c r="W15" s="50"/>
      <c r="X15" s="50"/>
      <c r="Y15" s="50"/>
      <c r="Z15" s="50"/>
    </row>
    <row r="16">
      <c r="A16" s="50"/>
      <c r="B16" s="50"/>
      <c r="C16" s="50"/>
      <c r="D16" s="50"/>
      <c r="E16" s="50"/>
      <c r="F16" s="50"/>
      <c r="G16" s="50"/>
      <c r="H16" s="50"/>
      <c r="I16" s="50"/>
      <c r="J16" s="50"/>
      <c r="K16" s="50"/>
      <c r="L16" s="50"/>
      <c r="M16" s="50"/>
      <c r="N16" s="50"/>
      <c r="O16" s="50"/>
      <c r="P16" s="50"/>
      <c r="Q16" s="50"/>
      <c r="R16" s="50"/>
      <c r="S16" s="50"/>
      <c r="T16" s="50"/>
      <c r="U16" s="50"/>
      <c r="V16" s="50"/>
      <c r="W16" s="50"/>
      <c r="X16" s="50"/>
      <c r="Y16" s="50"/>
      <c r="Z16" s="50"/>
    </row>
    <row r="17">
      <c r="A17" s="50"/>
      <c r="B17" s="50"/>
      <c r="C17" s="50"/>
      <c r="D17" s="50"/>
      <c r="E17" s="50"/>
      <c r="F17" s="50"/>
      <c r="G17" s="50"/>
      <c r="H17" s="50"/>
      <c r="I17" s="50"/>
      <c r="J17" s="50"/>
      <c r="K17" s="50"/>
      <c r="L17" s="50"/>
      <c r="M17" s="50"/>
      <c r="N17" s="50"/>
      <c r="O17" s="50"/>
      <c r="P17" s="50"/>
      <c r="Q17" s="50"/>
      <c r="R17" s="50"/>
      <c r="S17" s="50"/>
      <c r="T17" s="50"/>
      <c r="U17" s="50"/>
      <c r="V17" s="50"/>
      <c r="W17" s="50"/>
      <c r="X17" s="50"/>
      <c r="Y17" s="50"/>
      <c r="Z17" s="50"/>
    </row>
    <row r="18">
      <c r="A18" s="50"/>
      <c r="B18" s="50"/>
      <c r="C18" s="50"/>
      <c r="D18" s="50"/>
      <c r="E18" s="50"/>
      <c r="F18" s="50"/>
      <c r="G18" s="50"/>
      <c r="H18" s="50"/>
      <c r="I18" s="50"/>
      <c r="J18" s="50"/>
      <c r="K18" s="50"/>
      <c r="L18" s="50"/>
      <c r="M18" s="50"/>
      <c r="N18" s="50"/>
      <c r="O18" s="50"/>
      <c r="P18" s="50"/>
      <c r="Q18" s="50"/>
      <c r="R18" s="50"/>
      <c r="S18" s="50"/>
      <c r="T18" s="50"/>
      <c r="U18" s="50"/>
      <c r="V18" s="50"/>
      <c r="W18" s="50"/>
      <c r="X18" s="50"/>
      <c r="Y18" s="50"/>
      <c r="Z18" s="50"/>
    </row>
    <row r="19">
      <c r="A19" s="50"/>
      <c r="B19" s="50"/>
      <c r="C19" s="50"/>
      <c r="D19" s="50"/>
      <c r="E19" s="50"/>
      <c r="F19" s="50"/>
      <c r="G19" s="50"/>
      <c r="H19" s="50"/>
      <c r="I19" s="50"/>
      <c r="J19" s="50"/>
      <c r="K19" s="50"/>
      <c r="L19" s="50"/>
      <c r="M19" s="50"/>
      <c r="N19" s="50"/>
      <c r="O19" s="50"/>
      <c r="P19" s="50"/>
      <c r="Q19" s="50"/>
      <c r="R19" s="50"/>
      <c r="S19" s="50"/>
      <c r="T19" s="50"/>
      <c r="U19" s="50"/>
      <c r="V19" s="50"/>
      <c r="W19" s="50"/>
      <c r="X19" s="50"/>
      <c r="Y19" s="50"/>
      <c r="Z19" s="50"/>
    </row>
    <row r="20">
      <c r="A20" s="50"/>
      <c r="B20" s="50"/>
      <c r="C20" s="50"/>
      <c r="D20" s="50"/>
      <c r="E20" s="50"/>
      <c r="F20" s="50"/>
      <c r="G20" s="50"/>
      <c r="H20" s="50"/>
      <c r="I20" s="50"/>
      <c r="J20" s="50"/>
      <c r="K20" s="50"/>
      <c r="L20" s="50"/>
      <c r="M20" s="50"/>
      <c r="N20" s="50"/>
      <c r="O20" s="50"/>
      <c r="P20" s="50"/>
      <c r="Q20" s="50"/>
      <c r="R20" s="50"/>
      <c r="S20" s="50"/>
      <c r="T20" s="50"/>
      <c r="U20" s="50"/>
      <c r="V20" s="50"/>
      <c r="W20" s="50"/>
      <c r="X20" s="50"/>
      <c r="Y20" s="50"/>
      <c r="Z20" s="50"/>
    </row>
    <row r="21">
      <c r="A21" s="50"/>
      <c r="B21" s="50"/>
      <c r="C21" s="50"/>
      <c r="D21" s="50"/>
      <c r="E21" s="50"/>
      <c r="F21" s="50"/>
      <c r="G21" s="50"/>
      <c r="H21" s="50"/>
      <c r="I21" s="50"/>
      <c r="J21" s="50"/>
      <c r="K21" s="50"/>
      <c r="L21" s="50"/>
      <c r="M21" s="50"/>
      <c r="N21" s="50"/>
      <c r="O21" s="50"/>
      <c r="P21" s="50"/>
      <c r="Q21" s="50"/>
      <c r="R21" s="50"/>
      <c r="S21" s="50"/>
      <c r="T21" s="50"/>
      <c r="U21" s="50"/>
      <c r="V21" s="50"/>
      <c r="W21" s="50"/>
      <c r="X21" s="50"/>
      <c r="Y21" s="50"/>
      <c r="Z21" s="50"/>
    </row>
    <row r="22">
      <c r="A22" s="50"/>
      <c r="B22" s="50"/>
      <c r="C22" s="50"/>
      <c r="D22" s="50"/>
      <c r="E22" s="50"/>
      <c r="F22" s="50"/>
      <c r="G22" s="50"/>
      <c r="H22" s="50"/>
      <c r="I22" s="50"/>
      <c r="J22" s="50"/>
      <c r="K22" s="50"/>
      <c r="L22" s="50"/>
      <c r="M22" s="50"/>
      <c r="N22" s="50"/>
      <c r="O22" s="50"/>
      <c r="P22" s="50"/>
      <c r="Q22" s="50"/>
      <c r="R22" s="50"/>
      <c r="S22" s="50"/>
      <c r="T22" s="50"/>
      <c r="U22" s="50"/>
      <c r="V22" s="50"/>
      <c r="W22" s="50"/>
      <c r="X22" s="50"/>
      <c r="Y22" s="50"/>
      <c r="Z22" s="50"/>
    </row>
    <row r="23">
      <c r="A23" s="50"/>
      <c r="B23" s="50"/>
      <c r="C23" s="50"/>
      <c r="D23" s="50"/>
      <c r="E23" s="50"/>
      <c r="F23" s="50"/>
      <c r="G23" s="50"/>
      <c r="H23" s="50"/>
      <c r="I23" s="50"/>
      <c r="J23" s="50"/>
      <c r="K23" s="50"/>
      <c r="L23" s="50"/>
      <c r="M23" s="50"/>
      <c r="N23" s="50"/>
      <c r="O23" s="50"/>
      <c r="P23" s="50"/>
      <c r="Q23" s="50"/>
      <c r="R23" s="50"/>
      <c r="S23" s="50"/>
      <c r="T23" s="50"/>
      <c r="U23" s="50"/>
      <c r="V23" s="50"/>
      <c r="W23" s="50"/>
      <c r="X23" s="50"/>
      <c r="Y23" s="50"/>
      <c r="Z23" s="50"/>
    </row>
    <row r="24">
      <c r="A24" s="50"/>
      <c r="B24" s="50"/>
      <c r="C24" s="50"/>
      <c r="D24" s="50"/>
      <c r="E24" s="50"/>
      <c r="F24" s="50"/>
      <c r="G24" s="50"/>
      <c r="H24" s="50"/>
      <c r="I24" s="50"/>
      <c r="J24" s="50"/>
      <c r="K24" s="50"/>
      <c r="L24" s="50"/>
      <c r="M24" s="50"/>
      <c r="N24" s="50"/>
      <c r="O24" s="50"/>
      <c r="P24" s="50"/>
      <c r="Q24" s="50"/>
      <c r="R24" s="50"/>
      <c r="S24" s="50"/>
      <c r="T24" s="50"/>
      <c r="U24" s="50"/>
      <c r="V24" s="50"/>
      <c r="W24" s="50"/>
      <c r="X24" s="50"/>
      <c r="Y24" s="50"/>
      <c r="Z24" s="50"/>
    </row>
    <row r="25">
      <c r="A25" s="50"/>
      <c r="B25" s="50"/>
      <c r="C25" s="50"/>
      <c r="D25" s="50"/>
      <c r="E25" s="50"/>
      <c r="F25" s="50"/>
      <c r="G25" s="50"/>
      <c r="H25" s="50"/>
      <c r="I25" s="50"/>
      <c r="J25" s="50"/>
      <c r="K25" s="50"/>
      <c r="L25" s="50"/>
      <c r="M25" s="50"/>
      <c r="N25" s="50"/>
      <c r="O25" s="50"/>
      <c r="P25" s="50"/>
      <c r="Q25" s="50"/>
      <c r="R25" s="50"/>
      <c r="S25" s="50"/>
      <c r="T25" s="50"/>
      <c r="U25" s="50"/>
      <c r="V25" s="50"/>
      <c r="W25" s="50"/>
      <c r="X25" s="50"/>
      <c r="Y25" s="50"/>
      <c r="Z25" s="50"/>
    </row>
    <row r="26">
      <c r="A26" s="50"/>
      <c r="B26" s="50"/>
      <c r="C26" s="50"/>
      <c r="D26" s="50"/>
      <c r="E26" s="50"/>
      <c r="F26" s="50"/>
      <c r="G26" s="50"/>
      <c r="H26" s="50"/>
      <c r="I26" s="50"/>
      <c r="J26" s="50"/>
      <c r="K26" s="50"/>
      <c r="L26" s="50"/>
      <c r="M26" s="50"/>
      <c r="N26" s="50"/>
      <c r="O26" s="50"/>
      <c r="P26" s="50"/>
      <c r="Q26" s="50"/>
      <c r="R26" s="50"/>
      <c r="S26" s="50"/>
      <c r="T26" s="50"/>
      <c r="U26" s="50"/>
      <c r="V26" s="50"/>
      <c r="W26" s="50"/>
      <c r="X26" s="50"/>
      <c r="Y26" s="50"/>
      <c r="Z26" s="50"/>
    </row>
    <row r="27">
      <c r="A27" s="50"/>
      <c r="B27" s="50"/>
      <c r="C27" s="50"/>
      <c r="D27" s="50"/>
      <c r="E27" s="50"/>
      <c r="F27" s="50"/>
      <c r="G27" s="50"/>
      <c r="H27" s="50"/>
      <c r="I27" s="50"/>
      <c r="J27" s="50"/>
      <c r="K27" s="50"/>
      <c r="L27" s="50"/>
      <c r="M27" s="50"/>
      <c r="N27" s="50"/>
      <c r="O27" s="50"/>
      <c r="P27" s="50"/>
      <c r="Q27" s="50"/>
      <c r="R27" s="50"/>
      <c r="S27" s="50"/>
      <c r="T27" s="50"/>
      <c r="U27" s="50"/>
      <c r="V27" s="50"/>
      <c r="W27" s="50"/>
      <c r="X27" s="50"/>
      <c r="Y27" s="50"/>
      <c r="Z27" s="50"/>
    </row>
    <row r="28">
      <c r="A28" s="50"/>
      <c r="B28" s="50"/>
      <c r="C28" s="50"/>
      <c r="D28" s="50"/>
      <c r="E28" s="50"/>
      <c r="F28" s="50"/>
      <c r="G28" s="50"/>
      <c r="H28" s="50"/>
      <c r="I28" s="50"/>
      <c r="J28" s="50"/>
      <c r="K28" s="50"/>
      <c r="L28" s="50"/>
      <c r="M28" s="50"/>
      <c r="N28" s="50"/>
      <c r="O28" s="50"/>
      <c r="P28" s="50"/>
      <c r="Q28" s="50"/>
      <c r="R28" s="50"/>
      <c r="S28" s="50"/>
      <c r="T28" s="50"/>
      <c r="U28" s="50"/>
      <c r="V28" s="50"/>
      <c r="W28" s="50"/>
      <c r="X28" s="50"/>
      <c r="Y28" s="50"/>
      <c r="Z28" s="50"/>
    </row>
    <row r="29">
      <c r="A29" s="50"/>
      <c r="B29" s="50"/>
      <c r="C29" s="50"/>
      <c r="D29" s="50"/>
      <c r="E29" s="50"/>
      <c r="F29" s="50"/>
      <c r="G29" s="50"/>
      <c r="H29" s="50"/>
      <c r="I29" s="50"/>
      <c r="J29" s="50"/>
      <c r="K29" s="50"/>
      <c r="L29" s="50"/>
      <c r="M29" s="50"/>
      <c r="N29" s="50"/>
      <c r="O29" s="50"/>
      <c r="P29" s="50"/>
      <c r="Q29" s="50"/>
      <c r="R29" s="50"/>
      <c r="S29" s="50"/>
      <c r="T29" s="50"/>
      <c r="U29" s="50"/>
      <c r="V29" s="50"/>
      <c r="W29" s="50"/>
      <c r="X29" s="50"/>
      <c r="Y29" s="50"/>
      <c r="Z29" s="50"/>
    </row>
    <row r="30">
      <c r="A30" s="50"/>
      <c r="B30" s="50"/>
      <c r="C30" s="50"/>
      <c r="D30" s="50"/>
      <c r="E30" s="50"/>
      <c r="F30" s="50"/>
      <c r="G30" s="50"/>
      <c r="H30" s="50"/>
      <c r="I30" s="50"/>
      <c r="J30" s="50"/>
      <c r="K30" s="50"/>
      <c r="L30" s="50"/>
      <c r="M30" s="50"/>
      <c r="N30" s="50"/>
      <c r="O30" s="50"/>
      <c r="P30" s="50"/>
      <c r="Q30" s="50"/>
      <c r="R30" s="50"/>
      <c r="S30" s="50"/>
      <c r="T30" s="50"/>
      <c r="U30" s="50"/>
      <c r="V30" s="50"/>
      <c r="W30" s="50"/>
      <c r="X30" s="50"/>
      <c r="Y30" s="50"/>
      <c r="Z30" s="50"/>
    </row>
    <row r="31">
      <c r="A31" s="50"/>
      <c r="B31" s="50"/>
      <c r="C31" s="50"/>
      <c r="D31" s="50"/>
      <c r="E31" s="50"/>
      <c r="F31" s="50"/>
      <c r="G31" s="50"/>
      <c r="H31" s="50"/>
      <c r="I31" s="50"/>
      <c r="J31" s="50"/>
      <c r="K31" s="50"/>
      <c r="L31" s="50"/>
      <c r="M31" s="50"/>
      <c r="N31" s="50"/>
      <c r="O31" s="50"/>
      <c r="P31" s="50"/>
      <c r="Q31" s="50"/>
      <c r="R31" s="50"/>
      <c r="S31" s="50"/>
      <c r="T31" s="50"/>
      <c r="U31" s="50"/>
      <c r="V31" s="50"/>
      <c r="W31" s="50"/>
      <c r="X31" s="50"/>
      <c r="Y31" s="50"/>
      <c r="Z31" s="50"/>
    </row>
    <row r="32">
      <c r="A32" s="50"/>
      <c r="B32" s="50"/>
      <c r="C32" s="50"/>
      <c r="D32" s="50"/>
      <c r="E32" s="50"/>
      <c r="F32" s="50"/>
      <c r="G32" s="50"/>
      <c r="H32" s="50"/>
      <c r="I32" s="50"/>
      <c r="J32" s="50"/>
      <c r="K32" s="50"/>
      <c r="L32" s="50"/>
      <c r="M32" s="50"/>
      <c r="N32" s="50"/>
      <c r="O32" s="50"/>
      <c r="P32" s="50"/>
      <c r="Q32" s="50"/>
      <c r="R32" s="50"/>
      <c r="S32" s="50"/>
      <c r="T32" s="50"/>
      <c r="U32" s="50"/>
      <c r="V32" s="50"/>
      <c r="W32" s="50"/>
      <c r="X32" s="50"/>
      <c r="Y32" s="50"/>
      <c r="Z32" s="50"/>
    </row>
    <row r="33">
      <c r="A33" s="50"/>
      <c r="B33" s="50"/>
      <c r="C33" s="50"/>
      <c r="D33" s="50"/>
      <c r="E33" s="50"/>
      <c r="F33" s="50"/>
      <c r="G33" s="50"/>
      <c r="H33" s="50"/>
      <c r="I33" s="50"/>
      <c r="J33" s="50"/>
      <c r="K33" s="50"/>
      <c r="L33" s="50"/>
      <c r="M33" s="50"/>
      <c r="N33" s="50"/>
      <c r="O33" s="50"/>
      <c r="P33" s="50"/>
      <c r="Q33" s="50"/>
      <c r="R33" s="50"/>
      <c r="S33" s="50"/>
      <c r="T33" s="50"/>
      <c r="U33" s="50"/>
      <c r="V33" s="50"/>
      <c r="W33" s="50"/>
      <c r="X33" s="50"/>
      <c r="Y33" s="50"/>
      <c r="Z33" s="50"/>
    </row>
    <row r="34">
      <c r="A34" s="50"/>
      <c r="B34" s="50"/>
      <c r="C34" s="50"/>
      <c r="D34" s="50"/>
      <c r="E34" s="50"/>
      <c r="F34" s="50"/>
      <c r="G34" s="50"/>
      <c r="H34" s="50"/>
      <c r="I34" s="50"/>
      <c r="J34" s="50"/>
      <c r="K34" s="50"/>
      <c r="L34" s="50"/>
      <c r="M34" s="50"/>
      <c r="N34" s="50"/>
      <c r="O34" s="50"/>
      <c r="P34" s="50"/>
      <c r="Q34" s="50"/>
      <c r="R34" s="50"/>
      <c r="S34" s="50"/>
      <c r="T34" s="50"/>
      <c r="U34" s="50"/>
      <c r="V34" s="50"/>
      <c r="W34" s="50"/>
      <c r="X34" s="50"/>
      <c r="Y34" s="50"/>
      <c r="Z34" s="50"/>
    </row>
    <row r="35">
      <c r="A35" s="50"/>
      <c r="B35" s="50"/>
      <c r="C35" s="50"/>
      <c r="D35" s="50"/>
      <c r="E35" s="50"/>
      <c r="F35" s="50"/>
      <c r="G35" s="50"/>
      <c r="H35" s="50"/>
      <c r="I35" s="50"/>
      <c r="J35" s="50"/>
      <c r="K35" s="50"/>
      <c r="L35" s="50"/>
      <c r="M35" s="50"/>
      <c r="N35" s="50"/>
      <c r="O35" s="50"/>
      <c r="P35" s="50"/>
      <c r="Q35" s="50"/>
      <c r="R35" s="50"/>
      <c r="S35" s="50"/>
      <c r="T35" s="50"/>
      <c r="U35" s="50"/>
      <c r="V35" s="50"/>
      <c r="W35" s="50"/>
      <c r="X35" s="50"/>
      <c r="Y35" s="50"/>
      <c r="Z35" s="50"/>
    </row>
    <row r="36">
      <c r="A36" s="50"/>
      <c r="B36" s="50"/>
      <c r="C36" s="50"/>
      <c r="D36" s="50"/>
      <c r="E36" s="50"/>
      <c r="F36" s="50"/>
      <c r="G36" s="50"/>
      <c r="H36" s="50"/>
      <c r="I36" s="50"/>
      <c r="J36" s="50"/>
      <c r="K36" s="50"/>
      <c r="L36" s="50"/>
      <c r="M36" s="50"/>
      <c r="N36" s="50"/>
      <c r="O36" s="50"/>
      <c r="P36" s="50"/>
      <c r="Q36" s="50"/>
      <c r="R36" s="50"/>
      <c r="S36" s="50"/>
      <c r="T36" s="50"/>
      <c r="U36" s="50"/>
      <c r="V36" s="50"/>
      <c r="W36" s="50"/>
      <c r="X36" s="50"/>
      <c r="Y36" s="50"/>
      <c r="Z36" s="50"/>
    </row>
    <row r="37">
      <c r="A37" s="50"/>
      <c r="B37" s="50"/>
      <c r="C37" s="50"/>
      <c r="D37" s="50"/>
      <c r="E37" s="50"/>
      <c r="F37" s="50"/>
      <c r="G37" s="50"/>
      <c r="H37" s="50"/>
      <c r="I37" s="50"/>
      <c r="J37" s="50"/>
      <c r="K37" s="50"/>
      <c r="L37" s="50"/>
      <c r="M37" s="50"/>
      <c r="N37" s="50"/>
      <c r="O37" s="50"/>
      <c r="P37" s="50"/>
      <c r="Q37" s="50"/>
      <c r="R37" s="50"/>
      <c r="S37" s="50"/>
      <c r="T37" s="50"/>
      <c r="U37" s="50"/>
      <c r="V37" s="50"/>
      <c r="W37" s="50"/>
      <c r="X37" s="50"/>
      <c r="Y37" s="50"/>
      <c r="Z37" s="50"/>
    </row>
    <row r="38">
      <c r="A38" s="50"/>
      <c r="B38" s="50"/>
      <c r="C38" s="50"/>
      <c r="D38" s="50"/>
      <c r="E38" s="50"/>
      <c r="F38" s="50"/>
      <c r="G38" s="50"/>
      <c r="H38" s="50"/>
      <c r="I38" s="50"/>
      <c r="J38" s="50"/>
      <c r="K38" s="50"/>
      <c r="L38" s="50"/>
      <c r="M38" s="50"/>
      <c r="N38" s="50"/>
      <c r="O38" s="50"/>
      <c r="P38" s="50"/>
      <c r="Q38" s="50"/>
      <c r="R38" s="50"/>
      <c r="S38" s="50"/>
      <c r="T38" s="50"/>
      <c r="U38" s="50"/>
      <c r="V38" s="50"/>
      <c r="W38" s="50"/>
      <c r="X38" s="50"/>
      <c r="Y38" s="50"/>
      <c r="Z38" s="50"/>
    </row>
    <row r="39">
      <c r="A39" s="50"/>
      <c r="B39" s="50"/>
      <c r="C39" s="50"/>
      <c r="D39" s="50"/>
      <c r="E39" s="50"/>
      <c r="F39" s="50"/>
      <c r="G39" s="50"/>
      <c r="H39" s="50"/>
      <c r="I39" s="50"/>
      <c r="J39" s="50"/>
      <c r="K39" s="50"/>
      <c r="L39" s="50"/>
      <c r="M39" s="50"/>
      <c r="N39" s="50"/>
      <c r="O39" s="50"/>
      <c r="P39" s="50"/>
      <c r="Q39" s="50"/>
      <c r="R39" s="50"/>
      <c r="S39" s="50"/>
      <c r="T39" s="50"/>
      <c r="U39" s="50"/>
      <c r="V39" s="50"/>
      <c r="W39" s="50"/>
      <c r="X39" s="50"/>
      <c r="Y39" s="50"/>
      <c r="Z39" s="50"/>
    </row>
    <row r="40">
      <c r="A40" s="50"/>
      <c r="B40" s="50"/>
      <c r="C40" s="50"/>
      <c r="D40" s="50"/>
      <c r="E40" s="50"/>
      <c r="F40" s="50"/>
      <c r="G40" s="50"/>
      <c r="H40" s="50"/>
      <c r="I40" s="50"/>
      <c r="J40" s="50"/>
      <c r="K40" s="50"/>
      <c r="L40" s="50"/>
      <c r="M40" s="50"/>
      <c r="N40" s="50"/>
      <c r="O40" s="50"/>
      <c r="P40" s="50"/>
      <c r="Q40" s="50"/>
      <c r="R40" s="50"/>
      <c r="S40" s="50"/>
      <c r="T40" s="50"/>
      <c r="U40" s="50"/>
      <c r="V40" s="50"/>
      <c r="W40" s="50"/>
      <c r="X40" s="50"/>
      <c r="Y40" s="50"/>
      <c r="Z40" s="50"/>
    </row>
    <row r="41">
      <c r="A41" s="50"/>
      <c r="B41" s="50"/>
      <c r="C41" s="50"/>
      <c r="D41" s="50"/>
      <c r="E41" s="50"/>
      <c r="F41" s="50"/>
      <c r="G41" s="50"/>
      <c r="H41" s="50"/>
      <c r="I41" s="50"/>
      <c r="J41" s="50"/>
      <c r="K41" s="50"/>
      <c r="L41" s="50"/>
      <c r="M41" s="50"/>
      <c r="N41" s="50"/>
      <c r="O41" s="50"/>
      <c r="P41" s="50"/>
      <c r="Q41" s="50"/>
      <c r="R41" s="50"/>
      <c r="S41" s="50"/>
      <c r="T41" s="50"/>
      <c r="U41" s="50"/>
      <c r="V41" s="50"/>
      <c r="W41" s="50"/>
      <c r="X41" s="50"/>
      <c r="Y41" s="50"/>
      <c r="Z41" s="50"/>
    </row>
    <row r="42">
      <c r="A42" s="50"/>
      <c r="B42" s="50"/>
      <c r="C42" s="50"/>
      <c r="D42" s="50"/>
      <c r="E42" s="50"/>
      <c r="F42" s="50"/>
      <c r="G42" s="50"/>
      <c r="H42" s="50"/>
      <c r="I42" s="50"/>
      <c r="J42" s="50"/>
      <c r="K42" s="50"/>
      <c r="L42" s="50"/>
      <c r="M42" s="50"/>
      <c r="N42" s="50"/>
      <c r="O42" s="50"/>
      <c r="P42" s="50"/>
      <c r="Q42" s="50"/>
      <c r="R42" s="50"/>
      <c r="S42" s="50"/>
      <c r="T42" s="50"/>
      <c r="U42" s="50"/>
      <c r="V42" s="50"/>
      <c r="W42" s="50"/>
      <c r="X42" s="50"/>
      <c r="Y42" s="50"/>
      <c r="Z42" s="50"/>
    </row>
    <row r="43">
      <c r="A43" s="50"/>
      <c r="B43" s="50"/>
      <c r="C43" s="50"/>
      <c r="D43" s="50"/>
      <c r="E43" s="50"/>
      <c r="F43" s="50"/>
      <c r="G43" s="50"/>
      <c r="H43" s="50"/>
      <c r="I43" s="50"/>
      <c r="J43" s="50"/>
      <c r="K43" s="50"/>
      <c r="L43" s="50"/>
      <c r="M43" s="50"/>
      <c r="N43" s="50"/>
      <c r="O43" s="50"/>
      <c r="P43" s="50"/>
      <c r="Q43" s="50"/>
      <c r="R43" s="50"/>
      <c r="S43" s="50"/>
      <c r="T43" s="50"/>
      <c r="U43" s="50"/>
      <c r="V43" s="50"/>
      <c r="W43" s="50"/>
      <c r="X43" s="50"/>
      <c r="Y43" s="50"/>
      <c r="Z43" s="50"/>
    </row>
    <row r="44">
      <c r="A44" s="50"/>
      <c r="B44" s="50"/>
      <c r="C44" s="50"/>
      <c r="D44" s="50"/>
      <c r="E44" s="50"/>
      <c r="F44" s="50"/>
      <c r="G44" s="50"/>
      <c r="H44" s="50"/>
      <c r="I44" s="50"/>
      <c r="J44" s="50"/>
      <c r="K44" s="50"/>
      <c r="L44" s="50"/>
      <c r="M44" s="50"/>
      <c r="N44" s="50"/>
      <c r="O44" s="50"/>
      <c r="P44" s="50"/>
      <c r="Q44" s="50"/>
      <c r="R44" s="50"/>
      <c r="S44" s="50"/>
      <c r="T44" s="50"/>
      <c r="U44" s="50"/>
      <c r="V44" s="50"/>
      <c r="W44" s="50"/>
      <c r="X44" s="50"/>
      <c r="Y44" s="50"/>
      <c r="Z44" s="50"/>
    </row>
    <row r="45">
      <c r="A45" s="50"/>
      <c r="B45" s="50"/>
      <c r="C45" s="50"/>
      <c r="D45" s="50"/>
      <c r="E45" s="50"/>
      <c r="F45" s="50"/>
      <c r="G45" s="50"/>
      <c r="H45" s="50"/>
      <c r="I45" s="50"/>
      <c r="J45" s="50"/>
      <c r="K45" s="50"/>
      <c r="L45" s="50"/>
      <c r="M45" s="50"/>
      <c r="N45" s="50"/>
      <c r="O45" s="50"/>
      <c r="P45" s="50"/>
      <c r="Q45" s="50"/>
      <c r="R45" s="50"/>
      <c r="S45" s="50"/>
      <c r="T45" s="50"/>
      <c r="U45" s="50"/>
      <c r="V45" s="50"/>
      <c r="W45" s="50"/>
      <c r="X45" s="50"/>
      <c r="Y45" s="50"/>
      <c r="Z45" s="50"/>
    </row>
    <row r="46">
      <c r="A46" s="50"/>
      <c r="B46" s="50"/>
      <c r="C46" s="50"/>
      <c r="D46" s="50"/>
      <c r="E46" s="50"/>
      <c r="F46" s="50"/>
      <c r="G46" s="50"/>
      <c r="H46" s="50"/>
      <c r="I46" s="50"/>
      <c r="J46" s="50"/>
      <c r="K46" s="50"/>
      <c r="L46" s="50"/>
      <c r="M46" s="50"/>
      <c r="N46" s="50"/>
      <c r="O46" s="50"/>
      <c r="P46" s="50"/>
      <c r="Q46" s="50"/>
      <c r="R46" s="50"/>
      <c r="S46" s="50"/>
      <c r="T46" s="50"/>
      <c r="U46" s="50"/>
      <c r="V46" s="50"/>
      <c r="W46" s="50"/>
      <c r="X46" s="50"/>
      <c r="Y46" s="50"/>
      <c r="Z46" s="50"/>
    </row>
    <row r="47">
      <c r="A47" s="50"/>
      <c r="B47" s="50"/>
      <c r="C47" s="50"/>
      <c r="D47" s="50"/>
      <c r="E47" s="50"/>
      <c r="F47" s="50"/>
      <c r="G47" s="50"/>
      <c r="H47" s="50"/>
      <c r="I47" s="50"/>
      <c r="J47" s="50"/>
      <c r="K47" s="50"/>
      <c r="L47" s="50"/>
      <c r="M47" s="50"/>
      <c r="N47" s="50"/>
      <c r="O47" s="50"/>
      <c r="P47" s="50"/>
      <c r="Q47" s="50"/>
      <c r="R47" s="50"/>
      <c r="S47" s="50"/>
      <c r="T47" s="50"/>
      <c r="U47" s="50"/>
      <c r="V47" s="50"/>
      <c r="W47" s="50"/>
      <c r="X47" s="50"/>
      <c r="Y47" s="50"/>
      <c r="Z47" s="50"/>
    </row>
    <row r="48">
      <c r="A48" s="50"/>
      <c r="B48" s="50"/>
      <c r="C48" s="50"/>
      <c r="D48" s="50"/>
      <c r="E48" s="50"/>
      <c r="F48" s="50"/>
      <c r="G48" s="50"/>
      <c r="H48" s="50"/>
      <c r="I48" s="50"/>
      <c r="J48" s="50"/>
      <c r="K48" s="50"/>
      <c r="L48" s="50"/>
      <c r="M48" s="50"/>
      <c r="N48" s="50"/>
      <c r="O48" s="50"/>
      <c r="P48" s="50"/>
      <c r="Q48" s="50"/>
      <c r="R48" s="50"/>
      <c r="S48" s="50"/>
      <c r="T48" s="50"/>
      <c r="U48" s="50"/>
      <c r="V48" s="50"/>
      <c r="W48" s="50"/>
      <c r="X48" s="50"/>
      <c r="Y48" s="50"/>
      <c r="Z48" s="50"/>
    </row>
    <row r="49">
      <c r="A49" s="50"/>
      <c r="B49" s="50"/>
      <c r="C49" s="50"/>
      <c r="D49" s="50"/>
      <c r="E49" s="50"/>
      <c r="F49" s="50"/>
      <c r="G49" s="50"/>
      <c r="H49" s="50"/>
      <c r="I49" s="50"/>
      <c r="J49" s="50"/>
      <c r="K49" s="50"/>
      <c r="L49" s="50"/>
      <c r="M49" s="50"/>
      <c r="N49" s="50"/>
      <c r="O49" s="50"/>
      <c r="P49" s="50"/>
      <c r="Q49" s="50"/>
      <c r="R49" s="50"/>
      <c r="S49" s="50"/>
      <c r="T49" s="50"/>
      <c r="U49" s="50"/>
      <c r="V49" s="50"/>
      <c r="W49" s="50"/>
      <c r="X49" s="50"/>
      <c r="Y49" s="50"/>
      <c r="Z49" s="50"/>
    </row>
    <row r="50">
      <c r="A50" s="50"/>
      <c r="B50" s="50"/>
      <c r="C50" s="50"/>
      <c r="D50" s="50"/>
      <c r="E50" s="50"/>
      <c r="F50" s="50"/>
      <c r="G50" s="50"/>
      <c r="H50" s="50"/>
      <c r="I50" s="50"/>
      <c r="J50" s="50"/>
      <c r="K50" s="50"/>
      <c r="L50" s="50"/>
      <c r="M50" s="50"/>
      <c r="N50" s="50"/>
      <c r="O50" s="50"/>
      <c r="P50" s="50"/>
      <c r="Q50" s="50"/>
      <c r="R50" s="50"/>
      <c r="S50" s="50"/>
      <c r="T50" s="50"/>
      <c r="U50" s="50"/>
      <c r="V50" s="50"/>
      <c r="W50" s="50"/>
      <c r="X50" s="50"/>
      <c r="Y50" s="50"/>
      <c r="Z50" s="50"/>
    </row>
    <row r="51">
      <c r="A51" s="50"/>
      <c r="B51" s="50"/>
      <c r="C51" s="50"/>
      <c r="D51" s="50"/>
      <c r="E51" s="50"/>
      <c r="F51" s="50"/>
      <c r="G51" s="50"/>
      <c r="H51" s="50"/>
      <c r="I51" s="50"/>
      <c r="J51" s="50"/>
      <c r="K51" s="50"/>
      <c r="L51" s="50"/>
      <c r="M51" s="50"/>
      <c r="N51" s="50"/>
      <c r="O51" s="50"/>
      <c r="P51" s="50"/>
      <c r="Q51" s="50"/>
      <c r="R51" s="50"/>
      <c r="S51" s="50"/>
      <c r="T51" s="50"/>
      <c r="U51" s="50"/>
      <c r="V51" s="50"/>
      <c r="W51" s="50"/>
      <c r="X51" s="50"/>
      <c r="Y51" s="50"/>
      <c r="Z51" s="50"/>
    </row>
    <row r="52">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row>
    <row r="53">
      <c r="A53" s="50"/>
      <c r="B53" s="50"/>
      <c r="C53" s="50"/>
      <c r="D53" s="50"/>
      <c r="E53" s="50"/>
      <c r="F53" s="50"/>
      <c r="G53" s="50"/>
      <c r="H53" s="50"/>
      <c r="I53" s="50"/>
      <c r="J53" s="50"/>
      <c r="K53" s="50"/>
      <c r="L53" s="50"/>
      <c r="M53" s="50"/>
      <c r="N53" s="50"/>
      <c r="O53" s="50"/>
      <c r="P53" s="50"/>
      <c r="Q53" s="50"/>
      <c r="R53" s="50"/>
      <c r="S53" s="50"/>
      <c r="T53" s="50"/>
      <c r="U53" s="50"/>
      <c r="V53" s="50"/>
      <c r="W53" s="50"/>
      <c r="X53" s="50"/>
      <c r="Y53" s="50"/>
      <c r="Z53" s="50"/>
    </row>
    <row r="54">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row>
    <row r="55">
      <c r="A55" s="50"/>
      <c r="B55" s="50"/>
      <c r="C55" s="50"/>
      <c r="D55" s="50"/>
      <c r="E55" s="50"/>
      <c r="F55" s="50"/>
      <c r="G55" s="50"/>
      <c r="H55" s="50"/>
      <c r="I55" s="50"/>
      <c r="J55" s="50"/>
      <c r="K55" s="50"/>
      <c r="L55" s="50"/>
      <c r="M55" s="50"/>
      <c r="N55" s="50"/>
      <c r="O55" s="50"/>
      <c r="P55" s="50"/>
      <c r="Q55" s="50"/>
      <c r="R55" s="50"/>
      <c r="S55" s="50"/>
      <c r="T55" s="50"/>
      <c r="U55" s="50"/>
      <c r="V55" s="50"/>
      <c r="W55" s="50"/>
      <c r="X55" s="50"/>
      <c r="Y55" s="50"/>
      <c r="Z55" s="50"/>
    </row>
    <row r="56">
      <c r="A56" s="50"/>
      <c r="B56" s="50"/>
      <c r="C56" s="50"/>
      <c r="D56" s="50"/>
      <c r="E56" s="50"/>
      <c r="F56" s="50"/>
      <c r="G56" s="50"/>
      <c r="H56" s="50"/>
      <c r="I56" s="50"/>
      <c r="J56" s="50"/>
      <c r="K56" s="50"/>
      <c r="L56" s="50"/>
      <c r="M56" s="50"/>
      <c r="N56" s="50"/>
      <c r="O56" s="50"/>
      <c r="P56" s="50"/>
      <c r="Q56" s="50"/>
      <c r="R56" s="50"/>
      <c r="S56" s="50"/>
      <c r="T56" s="50"/>
      <c r="U56" s="50"/>
      <c r="V56" s="50"/>
      <c r="W56" s="50"/>
      <c r="X56" s="50"/>
      <c r="Y56" s="50"/>
      <c r="Z56" s="50"/>
    </row>
    <row r="57">
      <c r="A57" s="50"/>
      <c r="B57" s="50"/>
      <c r="C57" s="50"/>
      <c r="D57" s="50"/>
      <c r="E57" s="50"/>
      <c r="F57" s="50"/>
      <c r="G57" s="50"/>
      <c r="H57" s="50"/>
      <c r="I57" s="50"/>
      <c r="J57" s="50"/>
      <c r="K57" s="50"/>
      <c r="L57" s="50"/>
      <c r="M57" s="50"/>
      <c r="N57" s="50"/>
      <c r="O57" s="50"/>
      <c r="P57" s="50"/>
      <c r="Q57" s="50"/>
      <c r="R57" s="50"/>
      <c r="S57" s="50"/>
      <c r="T57" s="50"/>
      <c r="U57" s="50"/>
      <c r="V57" s="50"/>
      <c r="W57" s="50"/>
      <c r="X57" s="50"/>
      <c r="Y57" s="50"/>
      <c r="Z57" s="50"/>
    </row>
    <row r="58">
      <c r="A58" s="50"/>
      <c r="B58" s="50"/>
      <c r="C58" s="50"/>
      <c r="D58" s="50"/>
      <c r="E58" s="50"/>
      <c r="F58" s="50"/>
      <c r="G58" s="50"/>
      <c r="H58" s="50"/>
      <c r="I58" s="50"/>
      <c r="J58" s="50"/>
      <c r="K58" s="50"/>
      <c r="L58" s="50"/>
      <c r="M58" s="50"/>
      <c r="N58" s="50"/>
      <c r="O58" s="50"/>
      <c r="P58" s="50"/>
      <c r="Q58" s="50"/>
      <c r="R58" s="50"/>
      <c r="S58" s="50"/>
      <c r="T58" s="50"/>
      <c r="U58" s="50"/>
      <c r="V58" s="50"/>
      <c r="W58" s="50"/>
      <c r="X58" s="50"/>
      <c r="Y58" s="50"/>
      <c r="Z58" s="50"/>
    </row>
    <row r="59">
      <c r="A59" s="50"/>
      <c r="B59" s="50"/>
      <c r="C59" s="50"/>
      <c r="D59" s="50"/>
      <c r="E59" s="50"/>
      <c r="F59" s="50"/>
      <c r="G59" s="50"/>
      <c r="H59" s="50"/>
      <c r="I59" s="50"/>
      <c r="J59" s="50"/>
      <c r="K59" s="50"/>
      <c r="L59" s="50"/>
      <c r="M59" s="50"/>
      <c r="N59" s="50"/>
      <c r="O59" s="50"/>
      <c r="P59" s="50"/>
      <c r="Q59" s="50"/>
      <c r="R59" s="50"/>
      <c r="S59" s="50"/>
      <c r="T59" s="50"/>
      <c r="U59" s="50"/>
      <c r="V59" s="50"/>
      <c r="W59" s="50"/>
      <c r="X59" s="50"/>
      <c r="Y59" s="50"/>
      <c r="Z59" s="50"/>
    </row>
    <row r="60">
      <c r="A60" s="50"/>
      <c r="B60" s="50"/>
      <c r="C60" s="50"/>
      <c r="D60" s="50"/>
      <c r="E60" s="50"/>
      <c r="F60" s="50"/>
      <c r="G60" s="50"/>
      <c r="H60" s="50"/>
      <c r="I60" s="50"/>
      <c r="J60" s="50"/>
      <c r="K60" s="50"/>
      <c r="L60" s="50"/>
      <c r="M60" s="50"/>
      <c r="N60" s="50"/>
      <c r="O60" s="50"/>
      <c r="P60" s="50"/>
      <c r="Q60" s="50"/>
      <c r="R60" s="50"/>
      <c r="S60" s="50"/>
      <c r="T60" s="50"/>
      <c r="U60" s="50"/>
      <c r="V60" s="50"/>
      <c r="W60" s="50"/>
      <c r="X60" s="50"/>
      <c r="Y60" s="50"/>
      <c r="Z60" s="50"/>
    </row>
    <row r="61">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50"/>
    </row>
    <row r="62">
      <c r="A62" s="50"/>
      <c r="B62" s="50"/>
      <c r="C62" s="50"/>
      <c r="D62" s="50"/>
      <c r="E62" s="50"/>
      <c r="F62" s="50"/>
      <c r="G62" s="50"/>
      <c r="H62" s="50"/>
      <c r="I62" s="50"/>
      <c r="J62" s="50"/>
      <c r="K62" s="50"/>
      <c r="L62" s="50"/>
      <c r="M62" s="50"/>
      <c r="N62" s="50"/>
      <c r="O62" s="50"/>
      <c r="P62" s="50"/>
      <c r="Q62" s="50"/>
      <c r="R62" s="50"/>
      <c r="S62" s="50"/>
      <c r="T62" s="50"/>
      <c r="U62" s="50"/>
      <c r="V62" s="50"/>
      <c r="W62" s="50"/>
      <c r="X62" s="50"/>
      <c r="Y62" s="50"/>
      <c r="Z62" s="50"/>
    </row>
    <row r="63">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0"/>
    </row>
    <row r="64">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50"/>
    </row>
    <row r="65">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50"/>
    </row>
    <row r="66">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50"/>
    </row>
    <row r="67">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row>
    <row r="68">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row>
    <row r="69">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row>
    <row r="70">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row>
    <row r="71">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row>
    <row r="73">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row>
    <row r="74">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row>
    <row r="75">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row>
    <row r="76">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row>
    <row r="77">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row>
    <row r="78">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row>
    <row r="79">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row>
    <row r="80">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row>
    <row r="81">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row>
    <row r="82">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row>
    <row r="83">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row>
    <row r="84">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row>
    <row r="85">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row>
    <row r="86">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row>
    <row r="87">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row>
    <row r="88">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row>
    <row r="89">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row>
    <row r="90">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row>
    <row r="91">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row>
    <row r="92">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row>
    <row r="93">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row>
    <row r="94">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row>
    <row r="95">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row>
    <row r="96">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row>
    <row r="97">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row>
    <row r="98">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row>
    <row r="99">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row>
    <row r="100">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c r="A966" s="50"/>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c r="A967" s="5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c r="A968" s="50"/>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c r="A970" s="50"/>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c r="A971" s="5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c r="A972" s="50"/>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c r="A973" s="5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c r="A974" s="50"/>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c r="A975" s="5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c r="A976" s="50"/>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c r="A977" s="5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c r="A979" s="5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c r="A980" s="50"/>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c r="A981" s="5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c r="A982" s="50"/>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c r="A983" s="5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c r="A984" s="50"/>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c r="A985" s="5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c r="A986" s="50"/>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c r="A988" s="50"/>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c r="A989" s="50"/>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c r="A990" s="50"/>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c r="A991" s="50"/>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c r="A992" s="50"/>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c r="A993" s="50"/>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c r="A994" s="50"/>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sheetData>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36" width="11.13"/>
  </cols>
  <sheetData>
    <row r="1" ht="15.75" customHeight="1">
      <c r="A1" s="142" t="s">
        <v>130</v>
      </c>
      <c r="B1" s="61"/>
      <c r="C1" s="61"/>
      <c r="D1" s="61"/>
      <c r="E1" s="61"/>
      <c r="F1" s="61"/>
      <c r="G1" s="61"/>
      <c r="H1" s="61"/>
      <c r="I1" s="61"/>
      <c r="J1" s="61"/>
      <c r="K1" s="61"/>
      <c r="L1" s="144"/>
      <c r="M1" s="24"/>
      <c r="N1" s="24"/>
      <c r="O1" s="24"/>
      <c r="P1" s="24"/>
      <c r="Q1" s="24"/>
      <c r="R1" s="24"/>
      <c r="S1" s="24"/>
      <c r="T1" s="24"/>
      <c r="U1" s="24"/>
      <c r="V1" s="24"/>
      <c r="W1" s="24"/>
      <c r="X1" s="24"/>
      <c r="Y1" s="24"/>
      <c r="Z1" s="24"/>
      <c r="AA1" s="24"/>
      <c r="AB1" s="24"/>
      <c r="AC1" s="24"/>
      <c r="AD1" s="24"/>
      <c r="AE1" s="24"/>
      <c r="AF1" s="24"/>
      <c r="AG1" s="24"/>
      <c r="AH1" s="24"/>
      <c r="AI1" s="24"/>
      <c r="AJ1" s="24"/>
    </row>
    <row r="2" ht="15.75" customHeight="1">
      <c r="A2" s="49"/>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row>
    <row r="3" ht="15.75" customHeight="1">
      <c r="A3" s="103"/>
      <c r="B3" s="103">
        <v>2005.0</v>
      </c>
      <c r="C3" s="103">
        <v>2006.0</v>
      </c>
      <c r="D3" s="103">
        <v>2007.0</v>
      </c>
      <c r="E3" s="103">
        <v>2008.0</v>
      </c>
      <c r="F3" s="103">
        <v>2009.0</v>
      </c>
      <c r="G3" s="103">
        <v>2010.0</v>
      </c>
      <c r="H3" s="103">
        <v>2011.0</v>
      </c>
      <c r="I3" s="103">
        <v>2012.0</v>
      </c>
      <c r="J3" s="103">
        <v>2013.0</v>
      </c>
      <c r="K3" s="103">
        <v>2014.0</v>
      </c>
      <c r="L3" s="103">
        <v>2015.0</v>
      </c>
      <c r="M3" s="103">
        <v>2016.0</v>
      </c>
      <c r="N3" s="103">
        <v>2017.0</v>
      </c>
      <c r="O3" s="103">
        <v>2018.0</v>
      </c>
      <c r="P3" s="103">
        <v>2019.0</v>
      </c>
      <c r="Q3" s="103">
        <v>2020.0</v>
      </c>
      <c r="R3" s="103">
        <v>2021.0</v>
      </c>
      <c r="S3" s="103">
        <v>2022.0</v>
      </c>
      <c r="T3" s="103">
        <v>2023.0</v>
      </c>
      <c r="U3" s="103">
        <v>2024.0</v>
      </c>
      <c r="V3" s="24"/>
      <c r="W3" s="24"/>
      <c r="X3" s="24"/>
      <c r="Y3" s="24"/>
      <c r="Z3" s="24"/>
      <c r="AA3" s="24"/>
      <c r="AB3" s="24"/>
      <c r="AC3" s="24"/>
      <c r="AD3" s="24"/>
      <c r="AE3" s="24"/>
      <c r="AF3" s="24"/>
      <c r="AG3" s="24"/>
      <c r="AH3" s="24"/>
      <c r="AI3" s="24"/>
      <c r="AJ3" s="24"/>
    </row>
    <row r="4" ht="15.75" customHeight="1">
      <c r="A4" s="103" t="s">
        <v>42</v>
      </c>
      <c r="B4" s="108">
        <v>4.4</v>
      </c>
      <c r="C4" s="108">
        <v>3.8</v>
      </c>
      <c r="D4" s="108">
        <v>8.5</v>
      </c>
      <c r="E4" s="108">
        <v>7.2</v>
      </c>
      <c r="F4" s="108">
        <v>4.9</v>
      </c>
      <c r="G4" s="108">
        <v>4.7</v>
      </c>
      <c r="H4" s="108">
        <v>3.4</v>
      </c>
      <c r="I4" s="108">
        <v>4.2</v>
      </c>
      <c r="J4" s="108">
        <v>2.6</v>
      </c>
      <c r="K4" s="108">
        <v>0.8</v>
      </c>
      <c r="L4" s="108">
        <v>0.5</v>
      </c>
      <c r="M4" s="108">
        <v>0.7</v>
      </c>
      <c r="N4" s="108">
        <v>1.0</v>
      </c>
      <c r="O4" s="108">
        <v>1.2</v>
      </c>
      <c r="P4" s="108">
        <v>0.7</v>
      </c>
      <c r="Q4" s="108">
        <v>-1.1</v>
      </c>
      <c r="R4" s="108">
        <v>1.6</v>
      </c>
      <c r="S4" s="108">
        <v>4.4</v>
      </c>
      <c r="T4" s="108">
        <v>4.8</v>
      </c>
      <c r="U4" s="108">
        <v>4.1</v>
      </c>
      <c r="V4" s="24"/>
      <c r="W4" s="24"/>
      <c r="X4" s="24"/>
      <c r="Y4" s="24"/>
      <c r="Z4" s="24"/>
      <c r="AA4" s="24"/>
      <c r="AB4" s="24"/>
      <c r="AC4" s="24"/>
      <c r="AD4" s="24"/>
      <c r="AE4" s="24"/>
      <c r="AF4" s="24"/>
      <c r="AG4" s="24"/>
      <c r="AH4" s="24"/>
      <c r="AI4" s="24"/>
      <c r="AJ4" s="24"/>
    </row>
    <row r="5" ht="15.75" customHeight="1">
      <c r="A5" s="103" t="s">
        <v>43</v>
      </c>
      <c r="B5" s="108">
        <v>6.9</v>
      </c>
      <c r="C5" s="108">
        <v>5.4</v>
      </c>
      <c r="D5" s="108">
        <v>7.9</v>
      </c>
      <c r="E5" s="108">
        <v>8.1</v>
      </c>
      <c r="F5" s="108">
        <v>6.0</v>
      </c>
      <c r="G5" s="108">
        <v>7.0</v>
      </c>
      <c r="H5" s="108">
        <v>6.1</v>
      </c>
      <c r="I5" s="108">
        <v>7.0</v>
      </c>
      <c r="J5" s="108">
        <v>5.6</v>
      </c>
      <c r="K5" s="108">
        <v>2.9</v>
      </c>
      <c r="L5" s="108">
        <v>1.9</v>
      </c>
      <c r="M5" s="108">
        <v>2.5</v>
      </c>
      <c r="N5" s="108">
        <v>3.7</v>
      </c>
      <c r="O5" s="108">
        <v>4.8</v>
      </c>
      <c r="P5" s="108">
        <v>4.4</v>
      </c>
      <c r="Q5" s="108">
        <v>2.0</v>
      </c>
      <c r="R5" s="108">
        <v>0.0</v>
      </c>
      <c r="S5" s="108">
        <v>7.3</v>
      </c>
      <c r="T5" s="108">
        <v>8.2</v>
      </c>
      <c r="U5" s="108">
        <v>6.1</v>
      </c>
      <c r="V5" s="24"/>
      <c r="W5" s="24"/>
      <c r="X5" s="24"/>
      <c r="Y5" s="24"/>
      <c r="Z5" s="24"/>
      <c r="AA5" s="24"/>
      <c r="AB5" s="24"/>
      <c r="AC5" s="24"/>
      <c r="AD5" s="24"/>
      <c r="AE5" s="24"/>
      <c r="AF5" s="24"/>
      <c r="AG5" s="24"/>
      <c r="AH5" s="24"/>
      <c r="AI5" s="24"/>
      <c r="AJ5" s="24"/>
    </row>
    <row r="6" ht="15.75" customHeight="1">
      <c r="A6" s="103" t="s">
        <v>44</v>
      </c>
      <c r="B6" s="108">
        <v>9.4</v>
      </c>
      <c r="C6" s="108">
        <v>7.4</v>
      </c>
      <c r="D6" s="108">
        <v>9.6</v>
      </c>
      <c r="E6" s="108">
        <v>10.7</v>
      </c>
      <c r="F6" s="108">
        <v>5.5</v>
      </c>
      <c r="G6" s="108">
        <v>6.2</v>
      </c>
      <c r="H6" s="108">
        <v>3.1</v>
      </c>
      <c r="I6" s="108">
        <v>4.1</v>
      </c>
      <c r="J6" s="108">
        <v>1.0</v>
      </c>
      <c r="K6" s="108">
        <v>-0.2</v>
      </c>
      <c r="L6" s="108">
        <v>-1.1</v>
      </c>
      <c r="M6" s="108">
        <v>-1.2</v>
      </c>
      <c r="N6" s="108">
        <v>0.8</v>
      </c>
      <c r="O6" s="108">
        <v>4.2</v>
      </c>
      <c r="P6" s="108">
        <v>2.7</v>
      </c>
      <c r="Q6" s="108">
        <v>6.1</v>
      </c>
      <c r="R6" s="108">
        <v>1.5</v>
      </c>
      <c r="S6" s="108">
        <v>6.7</v>
      </c>
      <c r="T6" s="108">
        <v>6.5</v>
      </c>
      <c r="U6" s="108">
        <v>7.0</v>
      </c>
      <c r="V6" s="24"/>
      <c r="W6" s="24"/>
      <c r="X6" s="24"/>
      <c r="Y6" s="24"/>
      <c r="Z6" s="24"/>
      <c r="AA6" s="24"/>
      <c r="AB6" s="24"/>
      <c r="AC6" s="24"/>
      <c r="AD6" s="24"/>
      <c r="AE6" s="24"/>
      <c r="AF6" s="24"/>
      <c r="AG6" s="24"/>
      <c r="AH6" s="24"/>
      <c r="AI6" s="24"/>
      <c r="AJ6" s="24"/>
    </row>
    <row r="7" ht="15.75" customHeight="1">
      <c r="A7" s="24" t="s">
        <v>45</v>
      </c>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row>
    <row r="8" ht="15.75" customHeight="1">
      <c r="A8" s="24" t="s">
        <v>131</v>
      </c>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row>
    <row r="9" ht="15.75" customHeight="1">
      <c r="A9" s="24"/>
      <c r="B9" s="24"/>
      <c r="C9" s="24"/>
      <c r="D9" s="24"/>
      <c r="E9" s="24"/>
      <c r="F9" s="24"/>
      <c r="G9" s="24"/>
      <c r="H9" s="24"/>
      <c r="I9" s="24"/>
      <c r="J9" s="24"/>
      <c r="K9" s="24"/>
      <c r="L9" s="24"/>
      <c r="M9" s="24"/>
      <c r="N9" s="24"/>
      <c r="O9" s="75"/>
      <c r="P9" s="75"/>
      <c r="Q9" s="77"/>
      <c r="R9" s="75"/>
      <c r="S9" s="75"/>
      <c r="T9" s="24"/>
      <c r="U9" s="24"/>
      <c r="V9" s="24"/>
      <c r="W9" s="24"/>
      <c r="X9" s="24"/>
      <c r="Y9" s="24"/>
      <c r="Z9" s="24"/>
      <c r="AA9" s="24"/>
      <c r="AB9" s="24"/>
      <c r="AC9" s="24"/>
      <c r="AD9" s="24"/>
      <c r="AE9" s="24"/>
      <c r="AF9" s="24"/>
      <c r="AG9" s="24"/>
      <c r="AH9" s="24"/>
      <c r="AI9" s="24"/>
      <c r="AJ9" s="24"/>
    </row>
    <row r="10" ht="15.75" customHeight="1">
      <c r="A10" s="24"/>
      <c r="B10" s="24"/>
      <c r="C10" s="24"/>
      <c r="D10" s="24"/>
      <c r="E10" s="24"/>
      <c r="F10" s="24"/>
      <c r="G10" s="24"/>
      <c r="H10" s="24"/>
      <c r="I10" s="24"/>
      <c r="J10" s="24"/>
      <c r="K10" s="24"/>
      <c r="L10" s="24"/>
      <c r="M10" s="24"/>
      <c r="N10" s="24"/>
      <c r="O10" s="75"/>
      <c r="P10" s="75"/>
      <c r="Q10" s="77"/>
      <c r="R10" s="75"/>
      <c r="S10" s="24"/>
      <c r="T10" s="24"/>
      <c r="U10" s="24"/>
      <c r="V10" s="24"/>
      <c r="W10" s="24"/>
      <c r="X10" s="24"/>
      <c r="Y10" s="24"/>
      <c r="Z10" s="24"/>
      <c r="AA10" s="24"/>
      <c r="AB10" s="24"/>
      <c r="AC10" s="24"/>
      <c r="AD10" s="24"/>
      <c r="AE10" s="24"/>
      <c r="AF10" s="24"/>
      <c r="AG10" s="24"/>
      <c r="AH10" s="24"/>
      <c r="AI10" s="24"/>
      <c r="AJ10" s="24"/>
    </row>
    <row r="11" ht="15.75" customHeight="1">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row>
    <row r="12" ht="15.75" customHeight="1">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row>
    <row r="13" ht="15.75" customHeight="1">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row>
    <row r="14" ht="15.75" customHeight="1">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row>
    <row r="15" ht="15.75" customHeight="1">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row>
    <row r="16" ht="15.75" customHeight="1">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row>
    <row r="17" ht="15.75" customHeight="1">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row>
    <row r="18" ht="15.75" customHeight="1">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row>
    <row r="19" ht="15.75" customHeight="1">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row>
    <row r="20" ht="15.75" customHeight="1">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row>
    <row r="21" ht="15.75" customHeight="1">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row>
    <row r="22" ht="15.7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row>
    <row r="23" ht="15.7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row>
    <row r="24" ht="15.75" customHeight="1">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row>
    <row r="25"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row>
    <row r="26"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row>
    <row r="27"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row>
    <row r="28"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row>
    <row r="29"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row>
    <row r="30"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row>
    <row r="31"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row>
    <row r="32"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row>
    <row r="33"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row>
    <row r="34"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row>
    <row r="35"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row>
    <row r="36"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row>
    <row r="37"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row>
    <row r="38"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row>
    <row r="3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row>
    <row r="40"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row>
    <row r="41"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row>
    <row r="42"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row>
    <row r="43"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row>
    <row r="44"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row>
    <row r="45"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row>
    <row r="46"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row>
    <row r="47"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row>
    <row r="4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row>
    <row r="4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row>
    <row r="50"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row>
    <row r="51"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row>
    <row r="52"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row>
    <row r="53"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row>
    <row r="54"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row>
    <row r="55"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row>
    <row r="56"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row>
    <row r="57"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row>
    <row r="5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row>
    <row r="5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row>
    <row r="60"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row>
    <row r="61"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row>
    <row r="62"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row>
    <row r="63"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row>
    <row r="64"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row>
    <row r="65"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row>
    <row r="66"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row>
    <row r="67"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row>
    <row r="6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row>
    <row r="6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row>
    <row r="70"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row>
    <row r="71"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row>
    <row r="72"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row>
    <row r="73"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row>
    <row r="74"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row>
    <row r="75"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row>
    <row r="76"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row>
    <row r="77"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row>
    <row r="7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row>
    <row r="7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row>
    <row r="80"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row>
    <row r="81"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row>
    <row r="82"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row>
    <row r="83"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row>
    <row r="84"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row>
    <row r="85"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row>
    <row r="86"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row>
    <row r="87"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row>
    <row r="8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row>
    <row r="8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row>
    <row r="90"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row>
    <row r="91"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row>
    <row r="92"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row>
    <row r="93"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row>
    <row r="94"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row>
    <row r="95"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row>
    <row r="96"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row>
    <row r="97"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row>
    <row r="9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row>
    <row r="9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row>
    <row r="100"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row>
    <row r="101"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row>
    <row r="102"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row>
    <row r="103"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row>
    <row r="104"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row>
    <row r="105"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row>
    <row r="106"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row>
    <row r="107"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row>
    <row r="10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row>
    <row r="10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row>
    <row r="110"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row>
    <row r="111"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row>
    <row r="112"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row>
    <row r="113"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row>
    <row r="114"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row>
    <row r="115"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row>
    <row r="116"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row>
    <row r="117"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row>
    <row r="11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row>
    <row r="11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row>
    <row r="120"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row>
    <row r="121"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row>
    <row r="122"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row>
    <row r="123"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row>
    <row r="124"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row>
    <row r="125"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row>
    <row r="126"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row>
    <row r="127"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row>
    <row r="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row>
    <row r="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row>
    <row r="130"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row>
    <row r="131"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row>
    <row r="132"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row>
    <row r="133"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row>
    <row r="134"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row>
    <row r="135"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row>
    <row r="136"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row>
    <row r="137"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row>
    <row r="13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row>
    <row r="13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row>
    <row r="140"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row>
    <row r="141"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row>
    <row r="142"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row>
    <row r="143"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row>
    <row r="144"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row>
    <row r="145"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row>
    <row r="146"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row>
    <row r="147"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row>
    <row r="14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row>
    <row r="14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row>
    <row r="150"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row>
    <row r="151"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row>
    <row r="152"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row>
    <row r="153"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row>
    <row r="154"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row>
    <row r="155"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row>
    <row r="156"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row>
    <row r="157"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row>
    <row r="15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row>
    <row r="15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row>
    <row r="160"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row>
    <row r="161"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row>
    <row r="162"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row>
    <row r="163"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row>
    <row r="164"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row>
    <row r="165"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row>
    <row r="166"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row>
    <row r="167"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row>
    <row r="16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row>
    <row r="16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row>
    <row r="170"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row>
    <row r="171"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row>
    <row r="172"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row>
    <row r="173"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row>
    <row r="174"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row>
    <row r="175"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row>
    <row r="176"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row>
    <row r="177"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row>
    <row r="17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row>
    <row r="17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row>
    <row r="180"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row>
    <row r="181"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row>
    <row r="182"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row>
    <row r="183"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row>
    <row r="184"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row>
    <row r="185"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row>
    <row r="186"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row>
    <row r="187"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row>
    <row r="18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row>
    <row r="18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row>
    <row r="190"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row>
    <row r="191"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row>
    <row r="192"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row>
    <row r="193"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row>
    <row r="194"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row>
    <row r="195"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row>
    <row r="196"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row>
    <row r="197"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row>
    <row r="198"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row>
    <row r="199"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row>
    <row r="200"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row>
    <row r="201"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row>
    <row r="202"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row>
    <row r="203"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row>
    <row r="204"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row>
    <row r="205"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row>
    <row r="206"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row>
    <row r="207"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row>
    <row r="208"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row>
    <row r="209"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row>
    <row r="210"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row>
    <row r="211"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row>
    <row r="212"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row>
    <row r="213"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row>
    <row r="214"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row>
    <row r="215"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row>
    <row r="216"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row>
    <row r="217"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row>
    <row r="218"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row>
    <row r="219"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row>
    <row r="220"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row>
    <row r="221"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row>
    <row r="222"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row>
    <row r="223"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row>
    <row r="224"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row>
    <row r="225"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row>
    <row r="226"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row>
    <row r="227"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row>
    <row r="228"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row>
    <row r="229"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row>
    <row r="230"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row>
    <row r="231"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row>
    <row r="232"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row>
    <row r="233"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row>
    <row r="234"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row>
    <row r="235"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row>
    <row r="236"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row>
    <row r="237"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row>
    <row r="238"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row>
    <row r="239"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row>
    <row r="240"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row>
    <row r="241"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row>
    <row r="242"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row>
    <row r="243"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row>
    <row r="244"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row>
    <row r="245"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row>
    <row r="246"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row>
    <row r="247"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row>
    <row r="248"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row>
    <row r="249"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row>
    <row r="250"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row>
    <row r="251"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row>
    <row r="252"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row>
    <row r="253"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row>
    <row r="254"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row>
    <row r="255"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row>
    <row r="256"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row>
    <row r="257"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row>
    <row r="258"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row>
    <row r="259"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row>
    <row r="260"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row>
    <row r="261"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row>
    <row r="262"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row>
    <row r="263"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row>
    <row r="264"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row>
    <row r="265"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row>
    <row r="266"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row>
    <row r="267"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row>
    <row r="268"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row>
    <row r="269"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row>
    <row r="270"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row>
    <row r="271"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row>
    <row r="272"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row>
    <row r="273"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row>
    <row r="274"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row>
    <row r="275"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row>
    <row r="276"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row>
    <row r="277"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row>
    <row r="278"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row>
    <row r="279"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row>
    <row r="280"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row>
    <row r="281"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row>
    <row r="282"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row>
    <row r="283"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row>
    <row r="284"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row>
    <row r="285"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row>
    <row r="286"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row>
    <row r="287"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row>
    <row r="288"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row>
    <row r="289"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row>
    <row r="290"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row>
    <row r="291"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row>
    <row r="292"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row>
    <row r="293"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row>
    <row r="294"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row>
    <row r="295"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row>
    <row r="296"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row>
    <row r="297"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row>
    <row r="298"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row>
    <row r="299"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row>
    <row r="300"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row>
    <row r="301"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row>
    <row r="302"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row>
    <row r="303"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row>
    <row r="304"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row>
    <row r="305"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row>
    <row r="306"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row>
    <row r="307"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row>
    <row r="308"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row>
    <row r="309"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row>
    <row r="310"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row>
    <row r="311"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row>
    <row r="312"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row>
    <row r="313"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row>
    <row r="314"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row>
    <row r="315"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row>
    <row r="316"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row>
    <row r="317"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row>
    <row r="318"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row>
    <row r="319"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row>
    <row r="320"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row>
    <row r="321"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row>
    <row r="322"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row>
    <row r="323"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row>
    <row r="324"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row>
    <row r="325"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row>
    <row r="326"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row>
    <row r="327"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row>
    <row r="328"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row>
    <row r="329"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row>
    <row r="330"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row>
    <row r="331"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row>
    <row r="332"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row>
    <row r="333"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row>
    <row r="334"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row>
    <row r="335"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row>
    <row r="336"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row>
    <row r="337"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row>
    <row r="338"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row>
    <row r="339"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row>
    <row r="340"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row>
    <row r="341"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row>
    <row r="342"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row>
    <row r="343"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row>
    <row r="344"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row>
    <row r="345"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row>
    <row r="346"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row>
    <row r="347"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row>
    <row r="348"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row>
    <row r="349"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row>
    <row r="350"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row>
    <row r="351"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row>
    <row r="352"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row>
    <row r="353"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row>
    <row r="354"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row>
    <row r="355"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row>
    <row r="356"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row>
    <row r="357"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row>
    <row r="358"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row>
    <row r="359"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row>
    <row r="360"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row>
    <row r="361"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row>
    <row r="362"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row>
    <row r="363"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row>
    <row r="364"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row>
    <row r="365"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row>
    <row r="366"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row>
    <row r="367"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row>
    <row r="368"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row>
    <row r="369"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row>
    <row r="370"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row>
    <row r="371"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row>
    <row r="372"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row>
    <row r="373"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row>
    <row r="374"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row>
    <row r="375"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row>
    <row r="376"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row>
    <row r="377"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row>
    <row r="378"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row>
    <row r="379"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row>
    <row r="380"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row>
    <row r="381"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row>
    <row r="382"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row>
    <row r="383"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row>
    <row r="384"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row>
    <row r="385"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row>
    <row r="386"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row>
    <row r="387"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row>
    <row r="388"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row>
    <row r="389"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row>
    <row r="390"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row>
    <row r="391"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row>
    <row r="392"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row>
    <row r="393"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row>
    <row r="394"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row>
    <row r="395"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row>
    <row r="396"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row>
    <row r="397"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row>
    <row r="398"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row>
    <row r="399"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row>
    <row r="400"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row>
    <row r="401"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row>
    <row r="402"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row>
    <row r="403"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row>
    <row r="404"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row>
    <row r="405"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row>
    <row r="406"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row>
    <row r="407"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row>
    <row r="408"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row>
    <row r="409"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row>
    <row r="410"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row>
    <row r="411"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row>
    <row r="412"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row>
    <row r="413"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row>
    <row r="414"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row>
    <row r="415"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row>
    <row r="416"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row>
    <row r="417"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row>
    <row r="418"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row>
    <row r="419"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row>
    <row r="420"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row>
    <row r="421"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row>
    <row r="422"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row>
    <row r="423"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row>
    <row r="424"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row>
    <row r="425"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row>
    <row r="426"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row>
    <row r="427"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row>
    <row r="428"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row>
    <row r="429"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row>
    <row r="430"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row>
    <row r="431"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row>
    <row r="432"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row>
    <row r="433"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row>
    <row r="434"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row>
    <row r="435"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row>
    <row r="436"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row>
    <row r="437"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row>
    <row r="438"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row>
    <row r="439"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row>
    <row r="440"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row>
    <row r="441"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row>
    <row r="442"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row>
    <row r="443"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row>
    <row r="444"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row>
    <row r="445"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row>
    <row r="446"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row>
    <row r="447"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row>
    <row r="448"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row>
    <row r="449"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row>
    <row r="450"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row>
    <row r="451"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row>
    <row r="452"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row>
    <row r="453"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row>
    <row r="454"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row>
    <row r="455"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row>
    <row r="456"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row>
    <row r="457"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row>
    <row r="458"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row>
    <row r="459"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row>
    <row r="460"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row>
    <row r="461"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row>
    <row r="462"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row>
    <row r="463"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row>
    <row r="464"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row>
    <row r="465"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row>
    <row r="466"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row>
    <row r="467"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row>
    <row r="468"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row>
    <row r="469"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row>
    <row r="470"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row>
    <row r="471"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row>
    <row r="472"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row>
    <row r="473"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row>
    <row r="474"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row>
    <row r="475"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row>
    <row r="476"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row>
    <row r="477"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row>
    <row r="478"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row>
    <row r="479"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row>
    <row r="480"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row>
    <row r="481"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row>
    <row r="482"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row>
    <row r="483"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row>
    <row r="484"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row>
    <row r="485"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row>
    <row r="486"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row>
    <row r="487"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row>
    <row r="488"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row>
    <row r="489"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row>
    <row r="490"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row>
    <row r="491"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row>
    <row r="492"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row>
    <row r="493"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row>
    <row r="494"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row>
    <row r="495"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row>
    <row r="496"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row>
    <row r="497"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row>
    <row r="498"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row>
    <row r="499"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row>
    <row r="500"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row>
    <row r="501"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row>
    <row r="502"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row>
    <row r="503"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row>
    <row r="504"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row>
    <row r="505"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row>
    <row r="506"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row>
    <row r="507"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row>
    <row r="508"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row>
    <row r="509"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row>
    <row r="510"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row>
    <row r="511"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row>
    <row r="512"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row>
    <row r="513"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row>
    <row r="514"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row>
    <row r="515"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row>
    <row r="516"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row>
    <row r="517"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row>
    <row r="518"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row>
    <row r="519"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row>
    <row r="520"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row>
    <row r="521"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row>
    <row r="522"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row>
    <row r="523"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row>
    <row r="524"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row>
    <row r="525"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row>
    <row r="526"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row>
    <row r="527"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row>
    <row r="528"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row>
    <row r="529"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row>
    <row r="530"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row>
    <row r="531"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row>
    <row r="532"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row>
    <row r="533"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row>
    <row r="534"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row>
    <row r="535"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row>
    <row r="536"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row>
    <row r="537"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row>
    <row r="538"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row>
    <row r="539"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row>
    <row r="540"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row>
    <row r="541"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row>
    <row r="542"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row>
    <row r="543"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row>
    <row r="544"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row>
    <row r="545"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row>
    <row r="546"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row>
    <row r="547"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row>
    <row r="548"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row>
    <row r="549"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row>
    <row r="550"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row>
    <row r="551"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row>
    <row r="552"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row>
    <row r="553"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row>
    <row r="554"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row>
    <row r="555"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row>
    <row r="556"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row>
    <row r="557"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row>
    <row r="558"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row>
    <row r="559"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row>
    <row r="560"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row>
    <row r="561"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row>
    <row r="562"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row>
    <row r="563"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row>
    <row r="564"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row>
    <row r="565"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row>
    <row r="566"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row>
    <row r="567"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row>
    <row r="568"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row>
    <row r="569"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row>
    <row r="570"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row>
    <row r="571"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row>
    <row r="572"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row>
    <row r="573"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row>
    <row r="574"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row>
    <row r="575"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row>
    <row r="576"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row>
    <row r="577"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row>
    <row r="578"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row>
    <row r="579"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row>
    <row r="580"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row>
    <row r="581"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row>
    <row r="582"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row>
    <row r="583"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row>
    <row r="584"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row>
    <row r="585"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row>
    <row r="586"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row>
    <row r="587"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row>
    <row r="588"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row>
    <row r="589"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row>
    <row r="590"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row>
    <row r="591"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row>
    <row r="592"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row>
    <row r="593"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row>
    <row r="594"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row>
    <row r="595"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row>
    <row r="596"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row>
    <row r="597"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row>
    <row r="598"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row>
    <row r="599"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row>
    <row r="600"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row>
    <row r="601"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row>
    <row r="602"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row>
    <row r="603"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row>
    <row r="604"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row>
    <row r="605"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row>
    <row r="606"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row>
    <row r="607"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row>
    <row r="608"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row>
    <row r="609"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row>
    <row r="610"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row>
    <row r="611"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row>
    <row r="612"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row>
    <row r="613"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row>
    <row r="614"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row>
    <row r="615"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row>
    <row r="616"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row>
    <row r="617"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row>
    <row r="618"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row>
    <row r="619"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row>
    <row r="620"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row>
    <row r="621"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row>
    <row r="622"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row>
    <row r="623"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row>
    <row r="624"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row>
    <row r="625"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row>
    <row r="626"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row>
    <row r="627"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row>
    <row r="628"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row>
    <row r="629"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row>
    <row r="630"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row>
    <row r="631"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row>
    <row r="632"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row>
    <row r="633"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row>
    <row r="634"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row>
    <row r="635"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row>
    <row r="636"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row>
    <row r="637"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row>
    <row r="638"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row>
    <row r="639"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row>
    <row r="640"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row>
    <row r="641"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row>
    <row r="642"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row>
    <row r="643"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row>
    <row r="644"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row>
    <row r="645"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row>
    <row r="646"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row>
    <row r="647"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row>
    <row r="648"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row>
    <row r="649"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row>
    <row r="650"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row>
    <row r="651"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row>
    <row r="652"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row>
    <row r="653"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row>
    <row r="654"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row>
    <row r="655"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row>
    <row r="656"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row>
    <row r="657"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row>
    <row r="658"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row>
    <row r="659"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row>
    <row r="660"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row>
    <row r="661"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row>
    <row r="662"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row>
    <row r="663"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row>
    <row r="664"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row>
    <row r="665"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row>
    <row r="666"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row>
    <row r="667"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row>
    <row r="668"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row>
    <row r="669"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row>
    <row r="670"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row>
    <row r="671"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row>
    <row r="672"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row>
    <row r="673"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row>
    <row r="674"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row>
    <row r="675"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row>
    <row r="676"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row>
    <row r="677"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row>
    <row r="678"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row>
    <row r="679"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row>
    <row r="680"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row>
    <row r="681"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row>
    <row r="682"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row>
    <row r="683"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row>
    <row r="684"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row>
    <row r="685"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row>
    <row r="686"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row>
    <row r="687"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row>
    <row r="688"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row>
    <row r="689"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row>
    <row r="690"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row>
    <row r="691"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row>
    <row r="692"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row>
    <row r="693"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row>
    <row r="694"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row>
    <row r="695"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row>
    <row r="696"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row>
    <row r="697"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row>
    <row r="698"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row>
    <row r="699"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row>
    <row r="700"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row>
    <row r="701"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row>
    <row r="702"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row>
    <row r="703"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row>
    <row r="704"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row>
    <row r="705"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row>
    <row r="706"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row>
    <row r="707"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row>
    <row r="708"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row>
    <row r="709"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row>
    <row r="710"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row>
    <row r="711"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row>
    <row r="712"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row>
    <row r="713"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row>
    <row r="714"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row>
    <row r="715"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row>
    <row r="716"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row>
    <row r="717"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row>
    <row r="718"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row>
    <row r="719"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row>
    <row r="720"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row>
    <row r="721"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row>
    <row r="722"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row>
    <row r="723"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row>
    <row r="724"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row>
    <row r="725"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row>
    <row r="726"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row>
    <row r="727"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row>
    <row r="728"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row>
    <row r="729"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row>
    <row r="730"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row>
    <row r="731"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row>
    <row r="732"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row>
    <row r="733"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row>
    <row r="734"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row>
    <row r="735"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row>
    <row r="736"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row>
    <row r="737"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row>
    <row r="738"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row>
    <row r="739"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row>
    <row r="740"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row>
    <row r="741"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row>
    <row r="742"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row>
    <row r="743"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row>
    <row r="744"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row>
    <row r="745"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row>
    <row r="746"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row>
    <row r="747"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row>
    <row r="748"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row>
    <row r="749"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row>
    <row r="750"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row>
    <row r="751"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row>
    <row r="752"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row>
    <row r="753"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row>
    <row r="754"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row>
    <row r="755"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row>
    <row r="756"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row>
    <row r="757"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row>
    <row r="758"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row>
    <row r="759"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row>
    <row r="760"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row>
    <row r="761"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row>
    <row r="762"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row>
    <row r="763"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row>
    <row r="764"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row>
    <row r="765"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row>
    <row r="766"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row>
    <row r="767"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row>
    <row r="768"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row>
    <row r="769"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row>
    <row r="770"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row>
    <row r="771"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row>
    <row r="772"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row>
    <row r="773"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row>
    <row r="774"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row>
    <row r="775"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row>
    <row r="776"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row>
    <row r="777"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row>
    <row r="778"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row>
    <row r="779"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row>
    <row r="780"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row>
    <row r="781"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row>
    <row r="782"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row>
    <row r="783"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row>
    <row r="784"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row>
    <row r="785"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row>
    <row r="786"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row>
    <row r="787"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row>
    <row r="788"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row>
    <row r="789"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row>
    <row r="790"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row>
    <row r="791"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row>
    <row r="792"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row>
    <row r="793"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row>
    <row r="794"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row>
    <row r="795"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row>
    <row r="796"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row>
    <row r="797"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row>
    <row r="798"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row>
    <row r="799"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row>
    <row r="800"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row>
    <row r="801"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row>
    <row r="802"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row>
    <row r="803"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row>
    <row r="804"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row>
    <row r="805"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row>
    <row r="806"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row>
    <row r="807"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row>
    <row r="808"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row>
    <row r="809"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row>
    <row r="810"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row>
    <row r="811"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row>
    <row r="812"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row>
    <row r="813"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row>
    <row r="814"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row>
    <row r="815"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row>
    <row r="816"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row>
    <row r="817"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row>
    <row r="818"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row>
    <row r="819"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row>
    <row r="820"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row>
    <row r="821"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row>
    <row r="822"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row>
    <row r="823"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row>
    <row r="824"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row>
    <row r="825"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row>
    <row r="826"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row>
    <row r="827"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row>
    <row r="828"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row>
    <row r="829"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row>
    <row r="830"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row>
    <row r="831"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row>
    <row r="832"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row>
    <row r="833"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row>
    <row r="834"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row>
    <row r="835"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row>
    <row r="836"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row>
    <row r="837"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row>
    <row r="838"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row>
    <row r="839"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row>
    <row r="840"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row>
    <row r="841"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row>
    <row r="842"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row>
    <row r="843"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row>
    <row r="844"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row>
    <row r="845"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row>
    <row r="846"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row>
    <row r="847"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row>
    <row r="848"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row>
    <row r="849"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row>
    <row r="850"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row>
    <row r="851"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row>
    <row r="852"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row>
    <row r="853"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row>
    <row r="854"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row>
    <row r="855"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row>
    <row r="856"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row>
    <row r="857"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row>
    <row r="858"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row>
    <row r="859"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row>
    <row r="860"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row>
    <row r="861"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row>
    <row r="862"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row>
    <row r="863"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row>
    <row r="864"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row>
    <row r="865"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row>
    <row r="866"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row>
    <row r="867"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row>
    <row r="868"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row>
    <row r="869"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row>
    <row r="870"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row>
    <row r="871"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row>
    <row r="872"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row>
    <row r="873"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row>
    <row r="874"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row>
    <row r="875"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row>
    <row r="876"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row>
    <row r="877"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row>
    <row r="878"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row>
    <row r="879"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row>
    <row r="880"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row>
    <row r="881"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row>
    <row r="882"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row>
    <row r="883"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row>
    <row r="884"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row>
    <row r="885"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row>
    <row r="886"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row>
    <row r="887"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row>
    <row r="888"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row>
    <row r="889"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row>
    <row r="890"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row>
    <row r="891"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row>
    <row r="892"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row>
    <row r="893"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row>
    <row r="894"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row>
    <row r="895"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row>
    <row r="896"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row>
    <row r="897"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row>
    <row r="898"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row>
    <row r="899"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row>
    <row r="900"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row>
    <row r="901"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row>
    <row r="902"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row>
    <row r="903"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row>
    <row r="904"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row>
    <row r="905"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row>
    <row r="906"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row>
    <row r="907"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row>
    <row r="908"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row>
    <row r="909"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row>
    <row r="910"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row>
    <row r="911"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row>
    <row r="912"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row>
    <row r="913"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row>
    <row r="914"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row>
    <row r="915"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row>
    <row r="916"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row>
    <row r="917"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row>
    <row r="918"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row>
    <row r="919"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row>
    <row r="920"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row>
    <row r="921"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row>
    <row r="922"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row>
    <row r="923"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row>
    <row r="924"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row>
    <row r="925"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row>
    <row r="926"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row>
    <row r="927"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row>
    <row r="928"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row>
    <row r="929"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row>
    <row r="930"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row>
    <row r="931"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row>
    <row r="932"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row>
    <row r="933"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row>
    <row r="934"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row>
    <row r="935"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row>
    <row r="936"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row>
    <row r="937"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row>
    <row r="938"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row>
    <row r="939"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row>
    <row r="940"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row>
    <row r="941"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row>
    <row r="942"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row>
    <row r="943"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row>
    <row r="944"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row>
    <row r="945"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row>
    <row r="946"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row>
    <row r="947"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row>
    <row r="948"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row>
    <row r="949"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row>
    <row r="950"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row>
    <row r="951"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row>
    <row r="952"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row>
    <row r="953"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row>
    <row r="954"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row>
    <row r="955"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row>
    <row r="956"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row>
    <row r="957"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row>
    <row r="958"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row>
    <row r="959"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row>
    <row r="960"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row>
    <row r="961"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row>
    <row r="962"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row>
    <row r="963"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row>
    <row r="964"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row>
    <row r="965"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row>
    <row r="966" ht="15.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row>
    <row r="967" ht="15.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row>
    <row r="968" ht="15.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row>
    <row r="969" ht="15.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row>
    <row r="970" ht="15.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row>
    <row r="971" ht="15.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row>
    <row r="972" ht="15.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row>
    <row r="973" ht="15.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row>
    <row r="974" ht="15.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row>
    <row r="975" ht="15.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row>
    <row r="976" ht="15.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row>
    <row r="977" ht="15.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row>
    <row r="978" ht="15.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row>
    <row r="979" ht="15.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row>
    <row r="980" ht="15.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row>
    <row r="981" ht="15.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row>
    <row r="982" ht="15.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row>
    <row r="983" ht="15.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row>
    <row r="984" ht="15.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row>
    <row r="985" ht="15.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row>
    <row r="986" ht="15.7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row>
  </sheetData>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36" width="11.13"/>
  </cols>
  <sheetData>
    <row r="1" ht="15.75" customHeight="1">
      <c r="A1" s="142" t="s">
        <v>132</v>
      </c>
      <c r="B1" s="24"/>
      <c r="C1" s="24"/>
      <c r="D1" s="24"/>
      <c r="E1" s="24"/>
      <c r="F1" s="24"/>
      <c r="G1" s="24"/>
      <c r="H1" s="24"/>
      <c r="I1" s="24"/>
      <c r="J1" s="24"/>
      <c r="K1" s="24"/>
      <c r="L1" s="24"/>
      <c r="M1" s="24"/>
      <c r="N1" s="24"/>
      <c r="O1" s="24"/>
      <c r="P1" s="24"/>
      <c r="Q1" s="24"/>
      <c r="R1" s="24"/>
      <c r="S1" s="24"/>
      <c r="T1" s="24"/>
      <c r="U1" s="24"/>
      <c r="V1" s="24"/>
      <c r="W1" s="24"/>
      <c r="X1" s="24"/>
      <c r="Y1" s="24"/>
      <c r="Z1" s="24"/>
      <c r="AA1" s="50"/>
      <c r="AB1" s="24"/>
      <c r="AC1" s="24"/>
      <c r="AD1" s="24"/>
      <c r="AE1" s="24"/>
      <c r="AF1" s="24"/>
      <c r="AG1" s="24"/>
      <c r="AH1" s="24"/>
      <c r="AI1" s="24"/>
      <c r="AJ1" s="24"/>
    </row>
    <row r="2" ht="15.75" customHeight="1">
      <c r="A2" s="103"/>
      <c r="B2" s="103">
        <v>2005.0</v>
      </c>
      <c r="C2" s="103">
        <v>2006.0</v>
      </c>
      <c r="D2" s="103">
        <v>2007.0</v>
      </c>
      <c r="E2" s="103">
        <v>2008.0</v>
      </c>
      <c r="F2" s="103">
        <v>2009.0</v>
      </c>
      <c r="G2" s="103">
        <v>2010.0</v>
      </c>
      <c r="H2" s="103">
        <v>2011.0</v>
      </c>
      <c r="I2" s="103">
        <v>2012.0</v>
      </c>
      <c r="J2" s="103">
        <v>2013.0</v>
      </c>
      <c r="K2" s="103">
        <v>2014.0</v>
      </c>
      <c r="L2" s="103">
        <v>2015.0</v>
      </c>
      <c r="M2" s="103">
        <v>2016.0</v>
      </c>
      <c r="N2" s="103">
        <v>2017.0</v>
      </c>
      <c r="O2" s="103">
        <v>2018.0</v>
      </c>
      <c r="P2" s="103">
        <v>2019.0</v>
      </c>
      <c r="Q2" s="103">
        <v>2020.0</v>
      </c>
      <c r="R2" s="103">
        <v>2021.0</v>
      </c>
      <c r="S2" s="103">
        <v>2022.0</v>
      </c>
      <c r="T2" s="103">
        <v>2023.0</v>
      </c>
      <c r="U2" s="24"/>
      <c r="V2" s="24"/>
      <c r="W2" s="24"/>
      <c r="X2" s="24"/>
      <c r="Y2" s="24"/>
      <c r="Z2" s="24"/>
      <c r="AA2" s="50"/>
      <c r="AB2" s="24"/>
      <c r="AC2" s="24"/>
      <c r="AD2" s="24"/>
      <c r="AE2" s="24"/>
      <c r="AF2" s="24"/>
      <c r="AG2" s="24"/>
      <c r="AH2" s="24"/>
      <c r="AI2" s="24"/>
      <c r="AJ2" s="24"/>
    </row>
    <row r="3" ht="15.75" customHeight="1">
      <c r="A3" s="103" t="s">
        <v>42</v>
      </c>
      <c r="B3" s="145">
        <v>30.8</v>
      </c>
      <c r="C3" s="145">
        <v>30.9</v>
      </c>
      <c r="D3" s="145">
        <v>31.0</v>
      </c>
      <c r="E3" s="145">
        <v>31.0</v>
      </c>
      <c r="F3" s="145">
        <v>31.1</v>
      </c>
      <c r="G3" s="145">
        <v>31.2</v>
      </c>
      <c r="H3" s="145">
        <v>31.3</v>
      </c>
      <c r="I3" s="145">
        <v>31.4</v>
      </c>
      <c r="J3" s="145">
        <v>31.4</v>
      </c>
      <c r="K3" s="145">
        <v>31.5</v>
      </c>
      <c r="L3" s="145">
        <v>31.7</v>
      </c>
      <c r="M3" s="145">
        <v>31.8</v>
      </c>
      <c r="N3" s="145">
        <v>31.9</v>
      </c>
      <c r="O3" s="145">
        <v>32.0</v>
      </c>
      <c r="P3" s="145">
        <v>32.1</v>
      </c>
      <c r="Q3" s="145">
        <v>32.2</v>
      </c>
      <c r="R3" s="145">
        <v>32.4</v>
      </c>
      <c r="S3" s="145">
        <v>32.4</v>
      </c>
      <c r="T3" s="145">
        <v>32.5</v>
      </c>
      <c r="U3" s="24"/>
      <c r="V3" s="24"/>
      <c r="W3" s="24"/>
      <c r="X3" s="24"/>
      <c r="Y3" s="24"/>
      <c r="Z3" s="24"/>
      <c r="AA3" s="50"/>
      <c r="AB3" s="24"/>
      <c r="AC3" s="24"/>
      <c r="AD3" s="24"/>
      <c r="AE3" s="24"/>
      <c r="AF3" s="24"/>
      <c r="AG3" s="24"/>
      <c r="AH3" s="24"/>
      <c r="AI3" s="24"/>
      <c r="AJ3" s="24"/>
    </row>
    <row r="4" ht="15.75" customHeight="1">
      <c r="A4" s="103" t="s">
        <v>43</v>
      </c>
      <c r="B4" s="145">
        <v>31.0</v>
      </c>
      <c r="C4" s="145">
        <v>31.0</v>
      </c>
      <c r="D4" s="145">
        <v>31.0</v>
      </c>
      <c r="E4" s="145">
        <v>31.0</v>
      </c>
      <c r="F4" s="145">
        <v>31.1</v>
      </c>
      <c r="G4" s="145">
        <v>31.2</v>
      </c>
      <c r="H4" s="145">
        <v>31.4</v>
      </c>
      <c r="I4" s="145">
        <v>31.4</v>
      </c>
      <c r="J4" s="145">
        <v>31.5</v>
      </c>
      <c r="K4" s="145">
        <v>31.7</v>
      </c>
      <c r="L4" s="145">
        <v>31.8</v>
      </c>
      <c r="M4" s="145">
        <v>31.9</v>
      </c>
      <c r="N4" s="145">
        <v>32.0</v>
      </c>
      <c r="O4" s="145">
        <v>32.1</v>
      </c>
      <c r="P4" s="145">
        <v>32.2</v>
      </c>
      <c r="Q4" s="145">
        <v>32.3</v>
      </c>
      <c r="R4" s="145">
        <v>32.6</v>
      </c>
      <c r="S4" s="145">
        <v>32.7</v>
      </c>
      <c r="T4" s="145">
        <v>32.7</v>
      </c>
      <c r="U4" s="24"/>
      <c r="V4" s="24"/>
      <c r="W4" s="24"/>
      <c r="X4" s="24"/>
      <c r="Y4" s="24"/>
      <c r="Z4" s="24"/>
      <c r="AA4" s="24"/>
      <c r="AB4" s="24"/>
      <c r="AC4" s="24"/>
      <c r="AD4" s="24"/>
      <c r="AE4" s="24"/>
      <c r="AF4" s="24"/>
      <c r="AG4" s="24"/>
      <c r="AH4" s="24"/>
      <c r="AI4" s="24"/>
      <c r="AJ4" s="24"/>
    </row>
    <row r="5" ht="15.75" customHeight="1">
      <c r="A5" s="103" t="s">
        <v>44</v>
      </c>
      <c r="B5" s="145">
        <v>30.3</v>
      </c>
      <c r="C5" s="145">
        <v>30.3</v>
      </c>
      <c r="D5" s="145">
        <v>30.3</v>
      </c>
      <c r="E5" s="145">
        <v>30.3</v>
      </c>
      <c r="F5" s="145">
        <v>30.4</v>
      </c>
      <c r="G5" s="145">
        <v>30.5</v>
      </c>
      <c r="H5" s="145">
        <v>30.7</v>
      </c>
      <c r="I5" s="145">
        <v>30.8</v>
      </c>
      <c r="J5" s="145">
        <v>31.0</v>
      </c>
      <c r="K5" s="145">
        <v>31.1</v>
      </c>
      <c r="L5" s="145">
        <v>31.2</v>
      </c>
      <c r="M5" s="145">
        <v>31.4</v>
      </c>
      <c r="N5" s="145">
        <v>31.4</v>
      </c>
      <c r="O5" s="145">
        <v>31.7</v>
      </c>
      <c r="P5" s="145">
        <v>31.7</v>
      </c>
      <c r="Q5" s="145">
        <v>31.8</v>
      </c>
      <c r="R5" s="145">
        <v>32.0</v>
      </c>
      <c r="S5" s="145">
        <v>32.1</v>
      </c>
      <c r="T5" s="145">
        <v>32.1</v>
      </c>
      <c r="U5" s="24"/>
      <c r="V5" s="24"/>
      <c r="W5" s="24"/>
      <c r="X5" s="24"/>
      <c r="Y5" s="24"/>
      <c r="Z5" s="24"/>
      <c r="AA5" s="50"/>
      <c r="AB5" s="24"/>
      <c r="AC5" s="24"/>
      <c r="AD5" s="24"/>
      <c r="AE5" s="24"/>
      <c r="AF5" s="24"/>
      <c r="AG5" s="24"/>
      <c r="AH5" s="24"/>
      <c r="AI5" s="24"/>
      <c r="AJ5" s="24"/>
    </row>
    <row r="6" ht="15.75" customHeight="1">
      <c r="A6" s="24" t="s">
        <v>45</v>
      </c>
      <c r="B6" s="24"/>
      <c r="C6" s="24"/>
      <c r="D6" s="24"/>
      <c r="E6" s="24"/>
      <c r="F6" s="24"/>
      <c r="G6" s="24"/>
      <c r="H6" s="24"/>
      <c r="I6" s="24"/>
      <c r="J6" s="24"/>
      <c r="K6" s="24"/>
      <c r="L6" s="24"/>
      <c r="M6" s="24"/>
      <c r="N6" s="24"/>
      <c r="O6" s="24"/>
      <c r="P6" s="24"/>
      <c r="Q6" s="24"/>
      <c r="R6" s="24"/>
      <c r="S6" s="24"/>
      <c r="T6" s="24"/>
      <c r="U6" s="24"/>
      <c r="V6" s="24"/>
      <c r="W6" s="24"/>
      <c r="X6" s="24"/>
      <c r="Y6" s="24"/>
      <c r="Z6" s="24"/>
      <c r="AA6" s="50"/>
      <c r="AB6" s="24"/>
      <c r="AC6" s="24"/>
      <c r="AD6" s="24"/>
      <c r="AE6" s="24"/>
      <c r="AF6" s="24"/>
      <c r="AG6" s="24"/>
      <c r="AH6" s="24"/>
      <c r="AI6" s="24"/>
      <c r="AJ6" s="24"/>
    </row>
    <row r="7" ht="15.75" customHeight="1">
      <c r="A7" s="24" t="s">
        <v>133</v>
      </c>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row>
    <row r="8" ht="15.75" customHeight="1">
      <c r="A8" s="24"/>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row>
    <row r="9" ht="15.75" customHeight="1">
      <c r="A9" s="24"/>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row>
    <row r="10" ht="15.75" customHeight="1">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row>
    <row r="11" ht="15.75" customHeight="1">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row>
    <row r="12" ht="15.75" customHeight="1">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row>
    <row r="13" ht="15.75" customHeight="1">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row>
    <row r="14" ht="15.75" customHeight="1">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row>
    <row r="15" ht="15.75" customHeight="1">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row>
    <row r="16" ht="15.75" customHeight="1">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row>
    <row r="17" ht="15.75" customHeight="1">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row>
    <row r="18" ht="15.75" customHeight="1">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row>
    <row r="19" ht="15.75" customHeight="1">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row>
    <row r="20" ht="15.75" customHeight="1">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row>
    <row r="21" ht="15.75" customHeight="1">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row>
    <row r="22" ht="15.7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row>
    <row r="23" ht="15.7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row>
    <row r="24" ht="15.75" customHeight="1">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row>
    <row r="25"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row>
    <row r="26"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row>
    <row r="27"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row>
    <row r="28"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row>
    <row r="29"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row>
    <row r="30"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row>
    <row r="31"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row>
    <row r="32"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row>
    <row r="33"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row>
    <row r="34"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row>
    <row r="35"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row>
    <row r="36"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row>
    <row r="37"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row>
    <row r="38"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row>
    <row r="3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row>
    <row r="40"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row>
    <row r="41"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row>
    <row r="42"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row>
    <row r="43"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row>
    <row r="44"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row>
    <row r="45"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row>
    <row r="46"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row>
    <row r="47"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row>
    <row r="4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row>
    <row r="4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row>
    <row r="50"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row>
    <row r="51"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row>
    <row r="52"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row>
    <row r="53"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row>
    <row r="54"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row>
    <row r="55"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row>
    <row r="56"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row>
    <row r="57"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row>
    <row r="5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row>
    <row r="5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row>
    <row r="60"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row>
    <row r="61"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row>
    <row r="62"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row>
    <row r="63"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row>
    <row r="64"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row>
    <row r="65"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row>
    <row r="66"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row>
    <row r="67"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row>
    <row r="6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row>
    <row r="6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row>
    <row r="70"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row>
    <row r="71"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row>
    <row r="72"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row>
    <row r="73"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row>
    <row r="74"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row>
    <row r="75"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row>
    <row r="76"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row>
    <row r="77"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row>
    <row r="7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row>
    <row r="7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row>
    <row r="80"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row>
    <row r="81"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row>
    <row r="82"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row>
    <row r="83"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row>
    <row r="84"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row>
    <row r="85"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row>
    <row r="86"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row>
    <row r="87"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row>
    <row r="8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row>
    <row r="8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row>
    <row r="90"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row>
    <row r="91"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row>
    <row r="92"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row>
    <row r="93"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row>
    <row r="94"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row>
    <row r="95"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row>
    <row r="96"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row>
    <row r="97"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row>
    <row r="9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row>
    <row r="9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row>
    <row r="100"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row>
    <row r="101"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row>
    <row r="102"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row>
    <row r="103"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row>
    <row r="104"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row>
    <row r="105"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row>
    <row r="106"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row>
    <row r="107"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row>
    <row r="10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row>
    <row r="10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row>
    <row r="110"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row>
    <row r="111"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row>
    <row r="112"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row>
    <row r="113"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row>
    <row r="114"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row>
    <row r="115"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row>
    <row r="116"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row>
    <row r="117"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row>
    <row r="11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row>
    <row r="11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row>
    <row r="120"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row>
    <row r="121"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row>
    <row r="122"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row>
    <row r="123"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row>
    <row r="124"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row>
    <row r="125"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row>
    <row r="126"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row>
    <row r="127"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row>
    <row r="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row>
    <row r="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row>
    <row r="130"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row>
    <row r="131"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row>
    <row r="132"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row>
    <row r="133"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row>
    <row r="134"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row>
    <row r="135"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row>
    <row r="136"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row>
    <row r="137"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row>
    <row r="13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row>
    <row r="13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row>
    <row r="140"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row>
    <row r="141"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row>
    <row r="142"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row>
    <row r="143"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row>
    <row r="144"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row>
    <row r="145"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row>
    <row r="146"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row>
    <row r="147"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row>
    <row r="14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row>
    <row r="14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row>
    <row r="150"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row>
    <row r="151"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row>
    <row r="152"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row>
    <row r="153"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row>
    <row r="154"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row>
    <row r="155"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row>
    <row r="156"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row>
    <row r="157"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row>
    <row r="15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row>
    <row r="15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row>
    <row r="160"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row>
    <row r="161"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row>
    <row r="162"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row>
    <row r="163"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row>
    <row r="164"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row>
    <row r="165"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row>
    <row r="166"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row>
    <row r="167"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row>
    <row r="16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row>
    <row r="16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row>
    <row r="170"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row>
    <row r="171"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row>
    <row r="172"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row>
    <row r="173"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row>
    <row r="174"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row>
    <row r="175"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row>
    <row r="176"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row>
    <row r="177"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row>
    <row r="17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row>
    <row r="17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row>
    <row r="180"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row>
    <row r="181"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row>
    <row r="182"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row>
    <row r="183"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row>
    <row r="184"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row>
    <row r="185"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row>
    <row r="186"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row>
    <row r="187"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row>
    <row r="18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row>
    <row r="18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row>
    <row r="190"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row>
    <row r="191"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row>
    <row r="192"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row>
    <row r="193"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row>
    <row r="194"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row>
    <row r="195"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row>
    <row r="196"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row>
    <row r="197"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row>
    <row r="198"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row>
    <row r="199"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row>
    <row r="200"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row>
    <row r="201"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row>
    <row r="202"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row>
    <row r="203"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row>
    <row r="204"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row>
    <row r="205"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row>
    <row r="206"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row>
    <row r="207"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row>
    <row r="208"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row>
    <row r="209"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row>
    <row r="210"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row>
    <row r="211"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row>
    <row r="212"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row>
    <row r="213"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row>
    <row r="214"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row>
    <row r="215"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row>
    <row r="216"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row>
    <row r="217"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row>
    <row r="218"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row>
    <row r="219"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row>
    <row r="220"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row>
    <row r="221"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row>
    <row r="222"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row>
    <row r="223"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row>
    <row r="224"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row>
    <row r="225"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row>
    <row r="226"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row>
    <row r="227"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row>
    <row r="228"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row>
    <row r="229"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row>
    <row r="230"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row>
    <row r="231"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row>
    <row r="232"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row>
    <row r="233"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row>
    <row r="234"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row>
    <row r="235"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row>
    <row r="236"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row>
    <row r="237"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row>
    <row r="238"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row>
    <row r="239"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row>
    <row r="240"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row>
    <row r="241"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row>
    <row r="242"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row>
    <row r="243"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row>
    <row r="244"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row>
    <row r="245"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row>
    <row r="246"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row>
    <row r="247"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row>
    <row r="248"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row>
    <row r="249"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row>
    <row r="250"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row>
    <row r="251"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row>
    <row r="252"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row>
    <row r="253"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row>
    <row r="254"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row>
    <row r="255"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row>
    <row r="256"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row>
    <row r="257"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row>
    <row r="258"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row>
    <row r="259"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row>
    <row r="260"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row>
    <row r="261"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row>
    <row r="262"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row>
    <row r="263"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row>
    <row r="264"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row>
    <row r="265"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row>
    <row r="266"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row>
    <row r="267"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row>
    <row r="268"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row>
    <row r="269"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row>
    <row r="270"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row>
    <row r="271"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row>
    <row r="272"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row>
    <row r="273"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row>
    <row r="274"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row>
    <row r="275"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row>
    <row r="276"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row>
    <row r="277"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row>
    <row r="278"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row>
    <row r="279"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row>
    <row r="280"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row>
    <row r="281"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row>
    <row r="282"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row>
    <row r="283"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row>
    <row r="284"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row>
    <row r="285"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row>
    <row r="286"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row>
    <row r="287"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row>
    <row r="288"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row>
    <row r="289"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row>
    <row r="290"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row>
    <row r="291"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row>
    <row r="292"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row>
    <row r="293"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row>
    <row r="294"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row>
    <row r="295"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row>
    <row r="296"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row>
    <row r="297"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row>
    <row r="298"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row>
    <row r="299"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row>
    <row r="300"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row>
    <row r="301"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row>
    <row r="302"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row>
    <row r="303"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row>
    <row r="304"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row>
    <row r="305"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row>
    <row r="306"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row>
    <row r="307"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row>
    <row r="308"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row>
    <row r="309"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row>
    <row r="310"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row>
    <row r="311"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row>
    <row r="312"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row>
    <row r="313"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row>
    <row r="314"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row>
    <row r="315"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row>
    <row r="316"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row>
    <row r="317"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row>
    <row r="318"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row>
    <row r="319"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row>
    <row r="320"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row>
    <row r="321"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row>
    <row r="322"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row>
    <row r="323"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row>
    <row r="324"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row>
    <row r="325"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row>
    <row r="326"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row>
    <row r="327"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row>
    <row r="328"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row>
    <row r="329"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row>
    <row r="330"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row>
    <row r="331"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row>
    <row r="332"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row>
    <row r="333"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row>
    <row r="334"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row>
    <row r="335"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row>
    <row r="336"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row>
    <row r="337"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row>
    <row r="338"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row>
    <row r="339"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row>
    <row r="340"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row>
    <row r="341"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row>
    <row r="342"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row>
    <row r="343"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row>
    <row r="344"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row>
    <row r="345"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row>
    <row r="346"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row>
    <row r="347"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row>
    <row r="348"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row>
    <row r="349"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row>
    <row r="350"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row>
    <row r="351"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row>
    <row r="352"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row>
    <row r="353"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row>
    <row r="354"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row>
    <row r="355"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row>
    <row r="356"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row>
    <row r="357"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row>
    <row r="358"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row>
    <row r="359"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row>
    <row r="360"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row>
    <row r="361"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row>
    <row r="362"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row>
    <row r="363"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row>
    <row r="364"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row>
    <row r="365"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row>
    <row r="366"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row>
    <row r="367"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row>
    <row r="368"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row>
    <row r="369"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row>
    <row r="370"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row>
    <row r="371"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row>
    <row r="372"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row>
    <row r="373"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row>
    <row r="374"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row>
    <row r="375"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row>
    <row r="376"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row>
    <row r="377"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row>
    <row r="378"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row>
    <row r="379"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row>
    <row r="380"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row>
    <row r="381"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row>
    <row r="382"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row>
    <row r="383"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row>
    <row r="384"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row>
    <row r="385"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row>
    <row r="386"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row>
    <row r="387"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row>
    <row r="388"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row>
    <row r="389"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row>
    <row r="390"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row>
    <row r="391"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row>
    <row r="392"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row>
    <row r="393"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row>
    <row r="394"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row>
    <row r="395"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row>
    <row r="396"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row>
    <row r="397"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row>
    <row r="398"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row>
    <row r="399"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row>
    <row r="400"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row>
    <row r="401"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row>
    <row r="402"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row>
    <row r="403"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row>
    <row r="404"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row>
    <row r="405"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row>
    <row r="406"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row>
    <row r="407"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row>
    <row r="408"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row>
    <row r="409"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row>
    <row r="410"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row>
    <row r="411"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row>
    <row r="412"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row>
    <row r="413"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row>
    <row r="414"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row>
    <row r="415"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row>
    <row r="416"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row>
    <row r="417"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row>
    <row r="418"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row>
    <row r="419"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row>
    <row r="420"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row>
    <row r="421"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row>
    <row r="422"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row>
    <row r="423"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row>
    <row r="424"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row>
    <row r="425"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row>
    <row r="426"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row>
    <row r="427"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row>
    <row r="428"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row>
    <row r="429"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row>
    <row r="430"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row>
    <row r="431"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row>
    <row r="432"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row>
    <row r="433"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row>
    <row r="434"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row>
    <row r="435"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row>
    <row r="436"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row>
    <row r="437"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row>
    <row r="438"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row>
    <row r="439"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row>
    <row r="440"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row>
    <row r="441"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row>
    <row r="442"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row>
    <row r="443"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row>
    <row r="444"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row>
    <row r="445"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row>
    <row r="446"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row>
    <row r="447"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row>
    <row r="448"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row>
    <row r="449"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row>
    <row r="450"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row>
    <row r="451"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row>
    <row r="452"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row>
    <row r="453"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row>
    <row r="454"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row>
    <row r="455"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row>
    <row r="456"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row>
    <row r="457"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row>
    <row r="458"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row>
    <row r="459"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row>
    <row r="460"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row>
    <row r="461"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row>
    <row r="462"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row>
    <row r="463"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row>
    <row r="464"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row>
    <row r="465"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row>
    <row r="466"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row>
    <row r="467"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row>
    <row r="468"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row>
    <row r="469"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row>
    <row r="470"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row>
    <row r="471"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row>
    <row r="472"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row>
    <row r="473"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row>
    <row r="474"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row>
    <row r="475"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row>
    <row r="476"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row>
    <row r="477"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row>
    <row r="478"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row>
    <row r="479"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row>
    <row r="480"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row>
    <row r="481"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row>
    <row r="482"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row>
    <row r="483"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row>
    <row r="484"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row>
    <row r="485"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row>
    <row r="486"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row>
    <row r="487"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row>
    <row r="488"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row>
    <row r="489"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row>
    <row r="490"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row>
    <row r="491"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row>
    <row r="492"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row>
    <row r="493"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row>
    <row r="494"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row>
    <row r="495"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row>
    <row r="496"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row>
    <row r="497"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row>
    <row r="498"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row>
    <row r="499"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row>
    <row r="500"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row>
    <row r="501"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row>
    <row r="502"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row>
    <row r="503"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row>
    <row r="504"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row>
    <row r="505"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row>
    <row r="506"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row>
    <row r="507"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row>
    <row r="508"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row>
    <row r="509"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row>
    <row r="510"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row>
    <row r="511"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row>
    <row r="512"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row>
    <row r="513"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row>
    <row r="514"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row>
    <row r="515"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row>
    <row r="516"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row>
    <row r="517"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row>
    <row r="518"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row>
    <row r="519"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row>
    <row r="520"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row>
    <row r="521"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row>
    <row r="522"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row>
    <row r="523"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row>
    <row r="524"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row>
    <row r="525"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row>
    <row r="526"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row>
    <row r="527"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row>
    <row r="528"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row>
    <row r="529"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row>
    <row r="530"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row>
    <row r="531"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row>
    <row r="532"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row>
    <row r="533"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row>
    <row r="534"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row>
    <row r="535"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row>
    <row r="536"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row>
    <row r="537"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row>
    <row r="538"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row>
    <row r="539"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row>
    <row r="540"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row>
    <row r="541"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row>
    <row r="542"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row>
    <row r="543"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row>
    <row r="544"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row>
    <row r="545"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row>
    <row r="546"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row>
    <row r="547"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row>
    <row r="548"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row>
    <row r="549"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row>
    <row r="550"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row>
    <row r="551"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row>
    <row r="552"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row>
    <row r="553"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row>
    <row r="554"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row>
    <row r="555"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row>
    <row r="556"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row>
    <row r="557"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row>
    <row r="558"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row>
    <row r="559"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row>
    <row r="560"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row>
    <row r="561"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row>
    <row r="562"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row>
    <row r="563"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row>
    <row r="564"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row>
    <row r="565"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row>
    <row r="566"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row>
    <row r="567"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row>
    <row r="568"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row>
    <row r="569"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row>
    <row r="570"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row>
    <row r="571"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row>
    <row r="572"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row>
    <row r="573"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row>
    <row r="574"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row>
    <row r="575"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row>
    <row r="576"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row>
    <row r="577"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row>
    <row r="578"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row>
    <row r="579"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row>
    <row r="580"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row>
    <row r="581"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row>
    <row r="582"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row>
    <row r="583"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row>
    <row r="584"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row>
    <row r="585"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row>
    <row r="586"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row>
    <row r="587"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row>
    <row r="588"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row>
    <row r="589"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row>
    <row r="590"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row>
    <row r="591"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row>
    <row r="592"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row>
    <row r="593"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row>
    <row r="594"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row>
    <row r="595"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row>
    <row r="596"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row>
    <row r="597"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row>
    <row r="598"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row>
    <row r="599"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row>
    <row r="600"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row>
    <row r="601"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row>
    <row r="602"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row>
    <row r="603"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row>
    <row r="604"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row>
    <row r="605"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row>
    <row r="606"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row>
    <row r="607"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row>
    <row r="608"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row>
    <row r="609"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row>
    <row r="610"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row>
    <row r="611"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row>
    <row r="612"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row>
    <row r="613"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row>
    <row r="614"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row>
    <row r="615"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row>
    <row r="616"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row>
    <row r="617"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row>
    <row r="618"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row>
    <row r="619"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row>
    <row r="620"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row>
    <row r="621"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row>
    <row r="622"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row>
    <row r="623"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row>
    <row r="624"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row>
    <row r="625"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row>
    <row r="626"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row>
    <row r="627"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row>
    <row r="628"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row>
    <row r="629"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row>
    <row r="630"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row>
    <row r="631"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row>
    <row r="632"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row>
    <row r="633"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row>
    <row r="634"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row>
    <row r="635"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row>
    <row r="636"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row>
    <row r="637"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row>
    <row r="638"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row>
    <row r="639"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row>
    <row r="640"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row>
    <row r="641"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row>
    <row r="642"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row>
    <row r="643"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row>
    <row r="644"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row>
    <row r="645"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row>
    <row r="646"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row>
    <row r="647"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row>
    <row r="648"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row>
    <row r="649"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row>
    <row r="650"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row>
    <row r="651"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row>
    <row r="652"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row>
    <row r="653"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row>
    <row r="654"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row>
    <row r="655"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row>
    <row r="656"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row>
    <row r="657"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row>
    <row r="658"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row>
    <row r="659"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row>
    <row r="660"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row>
    <row r="661"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row>
    <row r="662"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row>
    <row r="663"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row>
    <row r="664"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row>
    <row r="665"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row>
    <row r="666"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row>
    <row r="667"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row>
    <row r="668"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row>
    <row r="669"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row>
    <row r="670"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row>
    <row r="671"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row>
    <row r="672"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row>
    <row r="673"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row>
    <row r="674"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row>
    <row r="675"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row>
    <row r="676"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row>
    <row r="677"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row>
    <row r="678"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row>
    <row r="679"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row>
    <row r="680"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row>
    <row r="681"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row>
    <row r="682"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row>
    <row r="683"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row>
    <row r="684"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row>
    <row r="685"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row>
    <row r="686"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row>
    <row r="687"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row>
    <row r="688"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row>
    <row r="689"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row>
    <row r="690"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row>
    <row r="691"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row>
    <row r="692"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row>
    <row r="693"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row>
    <row r="694"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row>
    <row r="695"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row>
    <row r="696"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row>
    <row r="697"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row>
    <row r="698"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row>
    <row r="699"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row>
    <row r="700"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row>
    <row r="701"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row>
    <row r="702"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row>
    <row r="703"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row>
    <row r="704"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row>
    <row r="705"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row>
    <row r="706"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row>
    <row r="707"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row>
    <row r="708"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row>
    <row r="709"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row>
    <row r="710"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row>
    <row r="711"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row>
    <row r="712"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row>
    <row r="713"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row>
    <row r="714"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row>
    <row r="715"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row>
    <row r="716"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row>
    <row r="717"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row>
    <row r="718"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row>
    <row r="719"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row>
    <row r="720"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row>
    <row r="721"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row>
    <row r="722"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row>
    <row r="723"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row>
    <row r="724"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row>
    <row r="725"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row>
    <row r="726"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row>
    <row r="727"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row>
    <row r="728"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row>
    <row r="729"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row>
    <row r="730"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row>
    <row r="731"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row>
    <row r="732"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row>
    <row r="733"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row>
    <row r="734"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row>
    <row r="735"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row>
    <row r="736"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row>
    <row r="737"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row>
    <row r="738"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row>
    <row r="739"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row>
    <row r="740"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row>
    <row r="741"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row>
    <row r="742"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row>
    <row r="743"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row>
    <row r="744"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row>
    <row r="745"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row>
    <row r="746"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row>
    <row r="747"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row>
    <row r="748"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row>
    <row r="749"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row>
    <row r="750"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row>
    <row r="751"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row>
    <row r="752"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row>
    <row r="753"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row>
    <row r="754"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row>
    <row r="755"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row>
    <row r="756"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row>
    <row r="757"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row>
    <row r="758"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row>
    <row r="759"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row>
    <row r="760"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row>
    <row r="761"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row>
    <row r="762"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row>
    <row r="763"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row>
    <row r="764"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row>
    <row r="765"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row>
    <row r="766"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row>
    <row r="767"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row>
    <row r="768"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row>
    <row r="769"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row>
    <row r="770"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row>
    <row r="771"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row>
    <row r="772"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row>
    <row r="773"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row>
    <row r="774"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row>
    <row r="775"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row>
    <row r="776"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row>
    <row r="777"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row>
    <row r="778"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row>
    <row r="779"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row>
    <row r="780"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row>
    <row r="781"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row>
    <row r="782"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row>
    <row r="783"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row>
    <row r="784"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row>
    <row r="785"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row>
    <row r="786"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row>
    <row r="787"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row>
    <row r="788"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row>
    <row r="789"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row>
    <row r="790"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row>
    <row r="791"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row>
    <row r="792"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row>
    <row r="793"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row>
    <row r="794"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row>
    <row r="795"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row>
    <row r="796"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row>
    <row r="797"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row>
    <row r="798"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row>
    <row r="799"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row>
    <row r="800"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row>
    <row r="801"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row>
    <row r="802"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row>
    <row r="803"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row>
    <row r="804"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row>
    <row r="805"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row>
    <row r="806"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row>
    <row r="807"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row>
    <row r="808"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row>
    <row r="809"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row>
    <row r="810"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row>
    <row r="811"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row>
    <row r="812"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row>
    <row r="813"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row>
    <row r="814"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row>
    <row r="815"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row>
    <row r="816"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row>
    <row r="817"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row>
    <row r="818"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row>
    <row r="819"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row>
    <row r="820"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row>
    <row r="821"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row>
    <row r="822"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row>
    <row r="823"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row>
    <row r="824"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row>
    <row r="825"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row>
    <row r="826"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row>
    <row r="827"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row>
    <row r="828"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row>
    <row r="829"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row>
    <row r="830"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row>
    <row r="831"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row>
    <row r="832"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row>
    <row r="833"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row>
    <row r="834"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row>
    <row r="835"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row>
    <row r="836"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row>
    <row r="837"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row>
    <row r="838"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row>
    <row r="839"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row>
    <row r="840"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row>
    <row r="841"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row>
    <row r="842"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row>
    <row r="843"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row>
    <row r="844"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row>
    <row r="845"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row>
    <row r="846"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row>
    <row r="847"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row>
    <row r="848"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row>
    <row r="849"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row>
    <row r="850"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row>
    <row r="851"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row>
    <row r="852"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row>
    <row r="853"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row>
    <row r="854"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row>
    <row r="855"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row>
    <row r="856"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row>
    <row r="857"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row>
    <row r="858"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row>
    <row r="859"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row>
    <row r="860"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row>
    <row r="861"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row>
    <row r="862"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row>
    <row r="863"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row>
    <row r="864"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row>
    <row r="865"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row>
    <row r="866"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row>
    <row r="867"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row>
    <row r="868"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row>
    <row r="869"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row>
    <row r="870"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row>
    <row r="871"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row>
    <row r="872"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row>
    <row r="873"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row>
    <row r="874"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row>
    <row r="875"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row>
    <row r="876"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row>
    <row r="877"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row>
    <row r="878"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row>
    <row r="879"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row>
    <row r="880"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row>
    <row r="881"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row>
    <row r="882"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row>
    <row r="883"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row>
    <row r="884"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row>
    <row r="885"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row>
    <row r="886"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row>
    <row r="887"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row>
    <row r="888"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row>
    <row r="889"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row>
    <row r="890"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row>
    <row r="891"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row>
    <row r="892"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row>
    <row r="893"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row>
    <row r="894"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row>
    <row r="895"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row>
    <row r="896"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row>
    <row r="897"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row>
    <row r="898"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row>
    <row r="899"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row>
    <row r="900"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row>
    <row r="901"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row>
    <row r="902"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row>
    <row r="903"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row>
    <row r="904"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row>
    <row r="905"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row>
    <row r="906"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row>
    <row r="907"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row>
    <row r="908"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row>
    <row r="909"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row>
    <row r="910"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row>
    <row r="911"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row>
    <row r="912"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row>
    <row r="913"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row>
    <row r="914"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row>
    <row r="915"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row>
    <row r="916"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row>
    <row r="917"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row>
    <row r="918"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row>
    <row r="919"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row>
    <row r="920"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row>
    <row r="921"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row>
    <row r="922"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row>
    <row r="923"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row>
    <row r="924"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row>
    <row r="925"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row>
    <row r="926"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row>
    <row r="927"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row>
    <row r="928"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row>
    <row r="929"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row>
    <row r="930"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row>
    <row r="931"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row>
    <row r="932"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row>
    <row r="933"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row>
    <row r="934"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row>
    <row r="935"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row>
    <row r="936"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row>
    <row r="937"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row>
    <row r="938"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row>
    <row r="939"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row>
    <row r="940"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row>
    <row r="941"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row>
    <row r="942"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row>
    <row r="943"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row>
    <row r="944"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row>
    <row r="945"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row>
    <row r="946"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row>
    <row r="947"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row>
    <row r="948"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row>
    <row r="949"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row>
    <row r="950"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row>
    <row r="951"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row>
    <row r="952"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row>
    <row r="953"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row>
    <row r="954"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row>
    <row r="955"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row>
    <row r="956"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row>
  </sheetData>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37" width="11.13"/>
  </cols>
  <sheetData>
    <row r="1" ht="15.75" customHeight="1">
      <c r="A1" s="24" t="s">
        <v>134</v>
      </c>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row>
    <row r="2" ht="15.75" customHeight="1">
      <c r="A2" s="24"/>
      <c r="B2" s="146">
        <v>2017.0</v>
      </c>
      <c r="C2" s="146">
        <v>2018.0</v>
      </c>
      <c r="D2" s="146">
        <v>2019.0</v>
      </c>
      <c r="E2" s="146">
        <v>2020.0</v>
      </c>
      <c r="F2" s="146">
        <v>2021.0</v>
      </c>
      <c r="G2" s="146">
        <v>2022.0</v>
      </c>
      <c r="H2" s="146">
        <v>2023.0</v>
      </c>
      <c r="I2" s="146">
        <v>2024.0</v>
      </c>
      <c r="J2" s="147"/>
      <c r="K2" s="147"/>
      <c r="L2" s="147"/>
      <c r="M2" s="147"/>
      <c r="N2" s="147"/>
      <c r="O2" s="147"/>
      <c r="P2" s="147"/>
      <c r="Q2" s="61"/>
      <c r="R2" s="61"/>
      <c r="S2" s="61"/>
      <c r="T2" s="61"/>
      <c r="U2" s="61"/>
      <c r="V2" s="61"/>
      <c r="W2" s="61"/>
      <c r="X2" s="61"/>
      <c r="Y2" s="24"/>
      <c r="Z2" s="24"/>
      <c r="AA2" s="24"/>
      <c r="AB2" s="24"/>
      <c r="AC2" s="24"/>
      <c r="AD2" s="24"/>
      <c r="AE2" s="24"/>
      <c r="AF2" s="24"/>
      <c r="AG2" s="24"/>
      <c r="AH2" s="24"/>
      <c r="AI2" s="24"/>
      <c r="AJ2" s="24"/>
      <c r="AK2" s="24"/>
    </row>
    <row r="3" ht="15.75" customHeight="1">
      <c r="A3" s="26" t="s">
        <v>74</v>
      </c>
      <c r="B3" s="148">
        <v>1.46</v>
      </c>
      <c r="C3" s="148">
        <v>1.39</v>
      </c>
      <c r="D3" s="148">
        <v>1.36</v>
      </c>
      <c r="E3" s="148">
        <v>1.28</v>
      </c>
      <c r="F3" s="148">
        <v>1.3</v>
      </c>
      <c r="G3" s="148">
        <v>1.27</v>
      </c>
      <c r="H3" s="148">
        <v>1.24</v>
      </c>
      <c r="I3" s="148">
        <v>1.23</v>
      </c>
      <c r="J3" s="147"/>
      <c r="K3" s="147"/>
      <c r="L3" s="147"/>
      <c r="M3" s="147"/>
      <c r="N3" s="147"/>
      <c r="O3" s="147"/>
      <c r="P3" s="147"/>
      <c r="Q3" s="61"/>
      <c r="R3" s="61"/>
      <c r="S3" s="61"/>
      <c r="T3" s="61"/>
      <c r="U3" s="61"/>
      <c r="V3" s="61"/>
      <c r="W3" s="61"/>
      <c r="X3" s="24"/>
      <c r="Y3" s="24"/>
      <c r="Z3" s="24"/>
      <c r="AA3" s="24"/>
      <c r="AB3" s="24"/>
      <c r="AC3" s="24"/>
      <c r="AD3" s="24"/>
      <c r="AE3" s="24"/>
      <c r="AF3" s="24"/>
      <c r="AG3" s="24"/>
      <c r="AH3" s="24"/>
      <c r="AI3" s="24"/>
      <c r="AJ3" s="24"/>
      <c r="AK3" s="24"/>
    </row>
    <row r="4" ht="15.75" customHeight="1">
      <c r="A4" s="26" t="s">
        <v>44</v>
      </c>
      <c r="B4" s="148">
        <v>1.44</v>
      </c>
      <c r="C4" s="148">
        <v>1.4</v>
      </c>
      <c r="D4" s="148">
        <v>1.36</v>
      </c>
      <c r="E4" s="148">
        <v>1.33</v>
      </c>
      <c r="F4" s="148">
        <v>1.31</v>
      </c>
      <c r="G4" s="148">
        <v>1.3</v>
      </c>
      <c r="H4" s="148">
        <v>1.28</v>
      </c>
      <c r="I4" s="148">
        <v>1.23</v>
      </c>
      <c r="J4" s="147"/>
      <c r="K4" s="147"/>
      <c r="L4" s="147"/>
      <c r="M4" s="147"/>
      <c r="N4" s="147"/>
      <c r="O4" s="147"/>
      <c r="P4" s="147"/>
      <c r="Q4" s="61"/>
      <c r="R4" s="61"/>
      <c r="S4" s="61"/>
      <c r="T4" s="61"/>
      <c r="U4" s="61"/>
      <c r="V4" s="61"/>
      <c r="W4" s="61"/>
      <c r="X4" s="24"/>
      <c r="Y4" s="24"/>
      <c r="Z4" s="24"/>
      <c r="AA4" s="24"/>
      <c r="AB4" s="24"/>
      <c r="AC4" s="24"/>
      <c r="AD4" s="24"/>
      <c r="AE4" s="24"/>
      <c r="AF4" s="24"/>
      <c r="AG4" s="24"/>
      <c r="AH4" s="24"/>
      <c r="AI4" s="24"/>
      <c r="AJ4" s="24"/>
      <c r="AK4" s="24"/>
    </row>
    <row r="5" ht="15.75" customHeight="1">
      <c r="A5" s="26" t="s">
        <v>75</v>
      </c>
      <c r="B5" s="148">
        <v>1.36</v>
      </c>
      <c r="C5" s="148">
        <v>1.31</v>
      </c>
      <c r="D5" s="148">
        <v>1.31</v>
      </c>
      <c r="E5" s="148">
        <v>1.25</v>
      </c>
      <c r="F5" s="148">
        <v>1.24</v>
      </c>
      <c r="G5" s="148">
        <v>1.2</v>
      </c>
      <c r="H5" s="148">
        <v>1.19</v>
      </c>
      <c r="I5" s="148">
        <v>1.18</v>
      </c>
      <c r="J5" s="147"/>
      <c r="K5" s="147"/>
      <c r="L5" s="147"/>
      <c r="M5" s="147"/>
      <c r="N5" s="147"/>
      <c r="O5" s="147"/>
      <c r="P5" s="147"/>
      <c r="Q5" s="61"/>
      <c r="R5" s="61"/>
      <c r="S5" s="61"/>
      <c r="T5" s="61"/>
      <c r="U5" s="61"/>
      <c r="V5" s="61"/>
      <c r="W5" s="61"/>
      <c r="X5" s="24"/>
      <c r="Y5" s="24"/>
      <c r="Z5" s="24"/>
      <c r="AA5" s="24"/>
      <c r="AB5" s="24"/>
      <c r="AC5" s="24"/>
      <c r="AD5" s="24"/>
      <c r="AE5" s="24"/>
      <c r="AF5" s="24"/>
      <c r="AG5" s="24"/>
      <c r="AH5" s="24"/>
      <c r="AI5" s="24"/>
      <c r="AJ5" s="24"/>
      <c r="AK5" s="24"/>
    </row>
    <row r="6" ht="15.75" customHeight="1">
      <c r="A6" s="26" t="s">
        <v>77</v>
      </c>
      <c r="B6" s="148">
        <v>1.36</v>
      </c>
      <c r="C6" s="148">
        <v>1.33</v>
      </c>
      <c r="D6" s="148">
        <v>1.34</v>
      </c>
      <c r="E6" s="148">
        <v>1.26</v>
      </c>
      <c r="F6" s="148">
        <v>1.31</v>
      </c>
      <c r="G6" s="148">
        <v>1.23</v>
      </c>
      <c r="H6" s="148">
        <v>1.23</v>
      </c>
      <c r="I6" s="148">
        <v>1.23</v>
      </c>
      <c r="J6" s="147"/>
      <c r="K6" s="147"/>
      <c r="L6" s="147"/>
      <c r="M6" s="147"/>
      <c r="N6" s="147"/>
      <c r="O6" s="147"/>
      <c r="P6" s="147"/>
      <c r="Q6" s="61"/>
      <c r="R6" s="61"/>
      <c r="S6" s="61"/>
      <c r="T6" s="61"/>
      <c r="U6" s="61"/>
      <c r="V6" s="61"/>
      <c r="W6" s="61"/>
      <c r="X6" s="24"/>
      <c r="Y6" s="24"/>
      <c r="Z6" s="24"/>
      <c r="AA6" s="24"/>
      <c r="AB6" s="24"/>
      <c r="AC6" s="24"/>
      <c r="AD6" s="24"/>
      <c r="AE6" s="24"/>
      <c r="AF6" s="24"/>
      <c r="AG6" s="24"/>
      <c r="AH6" s="24"/>
      <c r="AI6" s="24"/>
      <c r="AJ6" s="24"/>
      <c r="AK6" s="24"/>
    </row>
    <row r="7" ht="15.75" customHeight="1">
      <c r="A7" s="26" t="s">
        <v>78</v>
      </c>
      <c r="B7" s="148">
        <v>1.47</v>
      </c>
      <c r="C7" s="148">
        <v>1.37</v>
      </c>
      <c r="D7" s="148">
        <v>1.34</v>
      </c>
      <c r="E7" s="148">
        <v>1.27</v>
      </c>
      <c r="F7" s="148">
        <v>1.23</v>
      </c>
      <c r="G7" s="148">
        <v>1.26</v>
      </c>
      <c r="H7" s="148">
        <v>1.21</v>
      </c>
      <c r="I7" s="148">
        <v>1.22</v>
      </c>
      <c r="J7" s="147"/>
      <c r="K7" s="147"/>
      <c r="L7" s="147"/>
      <c r="M7" s="147"/>
      <c r="N7" s="147"/>
      <c r="O7" s="147"/>
      <c r="P7" s="147"/>
      <c r="Q7" s="61"/>
      <c r="R7" s="61"/>
      <c r="S7" s="61"/>
      <c r="T7" s="61"/>
      <c r="U7" s="61"/>
      <c r="V7" s="61"/>
      <c r="W7" s="61"/>
      <c r="X7" s="24"/>
      <c r="Y7" s="24"/>
      <c r="Z7" s="24"/>
      <c r="AA7" s="24"/>
      <c r="AB7" s="24"/>
      <c r="AC7" s="24"/>
      <c r="AD7" s="24"/>
      <c r="AE7" s="24"/>
      <c r="AF7" s="24"/>
      <c r="AG7" s="24"/>
      <c r="AH7" s="24"/>
      <c r="AI7" s="24"/>
      <c r="AJ7" s="24"/>
      <c r="AK7" s="24"/>
    </row>
    <row r="8" ht="15.75" customHeight="1">
      <c r="A8" s="26" t="s">
        <v>79</v>
      </c>
      <c r="B8" s="148">
        <v>1.45</v>
      </c>
      <c r="C8" s="148">
        <v>1.4</v>
      </c>
      <c r="D8" s="148">
        <v>1.34</v>
      </c>
      <c r="E8" s="148">
        <v>1.28</v>
      </c>
      <c r="F8" s="148">
        <v>1.34</v>
      </c>
      <c r="G8" s="148">
        <v>1.31</v>
      </c>
      <c r="H8" s="148">
        <v>1.24</v>
      </c>
      <c r="I8" s="148">
        <v>1.28</v>
      </c>
      <c r="J8" s="147"/>
      <c r="K8" s="147"/>
      <c r="L8" s="147"/>
      <c r="M8" s="147"/>
      <c r="N8" s="147"/>
      <c r="O8" s="147"/>
      <c r="P8" s="147"/>
      <c r="Q8" s="61"/>
      <c r="R8" s="61"/>
      <c r="S8" s="61"/>
      <c r="T8" s="61"/>
      <c r="U8" s="61"/>
      <c r="V8" s="61"/>
      <c r="W8" s="61"/>
      <c r="X8" s="24"/>
      <c r="Y8" s="24"/>
      <c r="Z8" s="24"/>
      <c r="AA8" s="24"/>
      <c r="AB8" s="24"/>
      <c r="AC8" s="24"/>
      <c r="AD8" s="24"/>
      <c r="AE8" s="24"/>
      <c r="AF8" s="24"/>
      <c r="AG8" s="24"/>
      <c r="AH8" s="24"/>
      <c r="AI8" s="24"/>
      <c r="AJ8" s="24"/>
      <c r="AK8" s="24"/>
    </row>
    <row r="9" ht="15.75" customHeight="1">
      <c r="A9" s="26" t="s">
        <v>80</v>
      </c>
      <c r="B9" s="148">
        <v>1.37</v>
      </c>
      <c r="C9" s="148">
        <v>1.38</v>
      </c>
      <c r="D9" s="148">
        <v>1.37</v>
      </c>
      <c r="E9" s="148">
        <v>1.32</v>
      </c>
      <c r="F9" s="148">
        <v>1.29</v>
      </c>
      <c r="G9" s="148">
        <v>1.27</v>
      </c>
      <c r="H9" s="148">
        <v>1.26</v>
      </c>
      <c r="I9" s="148">
        <v>1.21</v>
      </c>
      <c r="J9" s="147"/>
      <c r="K9" s="147"/>
      <c r="L9" s="147"/>
      <c r="M9" s="147"/>
      <c r="N9" s="147"/>
      <c r="O9" s="147"/>
      <c r="P9" s="147"/>
      <c r="Q9" s="61"/>
      <c r="R9" s="61"/>
      <c r="S9" s="61"/>
      <c r="T9" s="61"/>
      <c r="U9" s="61"/>
      <c r="V9" s="61"/>
      <c r="W9" s="61"/>
      <c r="X9" s="24"/>
      <c r="Y9" s="24"/>
      <c r="Z9" s="24"/>
      <c r="AA9" s="24"/>
      <c r="AB9" s="24"/>
      <c r="AC9" s="24"/>
      <c r="AD9" s="24"/>
      <c r="AE9" s="24"/>
      <c r="AF9" s="24"/>
      <c r="AG9" s="24"/>
      <c r="AH9" s="24"/>
      <c r="AI9" s="24"/>
      <c r="AJ9" s="24"/>
      <c r="AK9" s="24"/>
    </row>
    <row r="10" ht="15.75" customHeight="1">
      <c r="A10" s="26" t="s">
        <v>81</v>
      </c>
      <c r="B10" s="148">
        <v>1.4</v>
      </c>
      <c r="C10" s="148">
        <v>1.34</v>
      </c>
      <c r="D10" s="148">
        <v>1.29</v>
      </c>
      <c r="E10" s="148">
        <v>1.24</v>
      </c>
      <c r="F10" s="148">
        <v>1.24</v>
      </c>
      <c r="G10" s="148">
        <v>1.22</v>
      </c>
      <c r="H10" s="148">
        <v>1.17</v>
      </c>
      <c r="I10" s="148">
        <v>1.14</v>
      </c>
      <c r="J10" s="147"/>
      <c r="K10" s="147"/>
      <c r="L10" s="147"/>
      <c r="M10" s="147"/>
      <c r="N10" s="147"/>
      <c r="O10" s="147"/>
      <c r="P10" s="147"/>
      <c r="Q10" s="61"/>
      <c r="R10" s="61"/>
      <c r="S10" s="61"/>
      <c r="T10" s="61"/>
      <c r="U10" s="61"/>
      <c r="V10" s="61"/>
      <c r="W10" s="61"/>
      <c r="X10" s="24"/>
      <c r="Y10" s="24"/>
      <c r="Z10" s="24"/>
      <c r="AA10" s="24"/>
      <c r="AB10" s="24"/>
      <c r="AC10" s="24"/>
      <c r="AD10" s="24"/>
      <c r="AE10" s="24"/>
      <c r="AF10" s="24"/>
      <c r="AG10" s="24"/>
      <c r="AH10" s="24"/>
      <c r="AI10" s="24"/>
      <c r="AJ10" s="24"/>
      <c r="AK10" s="24"/>
    </row>
    <row r="11" ht="15.75" customHeight="1">
      <c r="A11" s="26" t="s">
        <v>82</v>
      </c>
      <c r="B11" s="148">
        <v>1.42</v>
      </c>
      <c r="C11" s="148">
        <v>1.38</v>
      </c>
      <c r="D11" s="148">
        <v>1.35</v>
      </c>
      <c r="E11" s="148">
        <v>1.22</v>
      </c>
      <c r="F11" s="149">
        <v>1.31</v>
      </c>
      <c r="G11" s="148">
        <v>1.29</v>
      </c>
      <c r="H11" s="148">
        <v>1.23</v>
      </c>
      <c r="I11" s="148">
        <v>1.19</v>
      </c>
      <c r="J11" s="147"/>
      <c r="K11" s="147"/>
      <c r="L11" s="147"/>
      <c r="M11" s="147"/>
      <c r="N11" s="147"/>
      <c r="O11" s="147"/>
      <c r="P11" s="147"/>
      <c r="Q11" s="61"/>
      <c r="R11" s="61"/>
      <c r="S11" s="61"/>
      <c r="T11" s="61"/>
      <c r="U11" s="61"/>
      <c r="V11" s="61"/>
      <c r="W11" s="61"/>
      <c r="X11" s="24"/>
      <c r="Y11" s="24"/>
      <c r="Z11" s="24"/>
      <c r="AA11" s="24"/>
      <c r="AB11" s="24"/>
      <c r="AC11" s="24"/>
      <c r="AD11" s="24"/>
      <c r="AE11" s="24"/>
      <c r="AF11" s="24"/>
      <c r="AG11" s="24"/>
      <c r="AH11" s="24"/>
      <c r="AI11" s="24"/>
      <c r="AJ11" s="24"/>
      <c r="AK11" s="24"/>
    </row>
    <row r="12" ht="15.75" customHeight="1">
      <c r="A12" s="26" t="s">
        <v>83</v>
      </c>
      <c r="B12" s="148">
        <v>1.3</v>
      </c>
      <c r="C12" s="148">
        <v>1.32</v>
      </c>
      <c r="D12" s="148">
        <v>1.29</v>
      </c>
      <c r="E12" s="148">
        <v>1.3</v>
      </c>
      <c r="F12" s="148">
        <v>1.21</v>
      </c>
      <c r="G12" s="148">
        <v>1.24</v>
      </c>
      <c r="H12" s="148">
        <v>1.18</v>
      </c>
      <c r="I12" s="148">
        <v>1.18</v>
      </c>
      <c r="J12" s="147"/>
      <c r="K12" s="147"/>
      <c r="L12" s="147"/>
      <c r="M12" s="147"/>
      <c r="N12" s="147"/>
      <c r="O12" s="147"/>
      <c r="P12" s="147"/>
      <c r="Q12" s="61"/>
      <c r="R12" s="61"/>
      <c r="S12" s="61"/>
      <c r="T12" s="61"/>
      <c r="U12" s="61"/>
      <c r="V12" s="61"/>
      <c r="W12" s="61"/>
      <c r="X12" s="24"/>
      <c r="Y12" s="24"/>
      <c r="Z12" s="24"/>
      <c r="AA12" s="24"/>
      <c r="AB12" s="24"/>
      <c r="AC12" s="24"/>
      <c r="AD12" s="24"/>
      <c r="AE12" s="24"/>
      <c r="AF12" s="24"/>
      <c r="AG12" s="24"/>
      <c r="AH12" s="24"/>
      <c r="AI12" s="24"/>
      <c r="AJ12" s="24"/>
      <c r="AK12" s="24"/>
    </row>
    <row r="13" ht="15.75" customHeight="1">
      <c r="A13" s="26" t="s">
        <v>84</v>
      </c>
      <c r="B13" s="148">
        <v>1.45</v>
      </c>
      <c r="C13" s="148">
        <v>1.42</v>
      </c>
      <c r="D13" s="148">
        <v>1.42</v>
      </c>
      <c r="E13" s="148">
        <v>1.29</v>
      </c>
      <c r="F13" s="148">
        <v>1.36</v>
      </c>
      <c r="G13" s="148">
        <v>1.33</v>
      </c>
      <c r="H13" s="148">
        <v>1.26</v>
      </c>
      <c r="I13" s="148">
        <v>1.27</v>
      </c>
      <c r="J13" s="147"/>
      <c r="K13" s="147"/>
      <c r="L13" s="147"/>
      <c r="M13" s="147"/>
      <c r="N13" s="147"/>
      <c r="O13" s="147"/>
      <c r="P13" s="147"/>
      <c r="Q13" s="61"/>
      <c r="R13" s="61"/>
      <c r="S13" s="61"/>
      <c r="T13" s="61"/>
      <c r="U13" s="61"/>
      <c r="V13" s="61"/>
      <c r="W13" s="61"/>
      <c r="X13" s="24"/>
      <c r="Y13" s="24"/>
      <c r="Z13" s="24"/>
      <c r="AA13" s="24"/>
      <c r="AB13" s="24"/>
      <c r="AC13" s="24"/>
      <c r="AD13" s="24"/>
      <c r="AE13" s="24"/>
      <c r="AF13" s="24"/>
      <c r="AG13" s="24"/>
      <c r="AH13" s="24"/>
      <c r="AI13" s="24"/>
      <c r="AJ13" s="24"/>
      <c r="AK13" s="24"/>
    </row>
    <row r="14" ht="15.75" customHeight="1">
      <c r="A14" s="26" t="s">
        <v>85</v>
      </c>
      <c r="B14" s="148">
        <v>1.37</v>
      </c>
      <c r="C14" s="148">
        <v>1.36</v>
      </c>
      <c r="D14" s="148">
        <v>1.33</v>
      </c>
      <c r="E14" s="148">
        <v>1.25</v>
      </c>
      <c r="F14" s="148">
        <v>1.3</v>
      </c>
      <c r="G14" s="148">
        <v>1.25</v>
      </c>
      <c r="H14" s="148">
        <v>1.2</v>
      </c>
      <c r="I14" s="148">
        <v>1.19</v>
      </c>
      <c r="J14" s="147"/>
      <c r="K14" s="147"/>
      <c r="L14" s="147"/>
      <c r="M14" s="147"/>
      <c r="N14" s="147"/>
      <c r="O14" s="147"/>
      <c r="P14" s="147"/>
      <c r="Q14" s="61"/>
      <c r="R14" s="61"/>
      <c r="S14" s="61"/>
      <c r="T14" s="61"/>
      <c r="U14" s="61"/>
      <c r="V14" s="61"/>
      <c r="W14" s="61"/>
      <c r="X14" s="24"/>
      <c r="Y14" s="24"/>
      <c r="Z14" s="24"/>
      <c r="AA14" s="24"/>
      <c r="AB14" s="24"/>
      <c r="AC14" s="24"/>
      <c r="AD14" s="24"/>
      <c r="AE14" s="24"/>
      <c r="AF14" s="24"/>
      <c r="AG14" s="24"/>
      <c r="AH14" s="24"/>
      <c r="AI14" s="24"/>
      <c r="AJ14" s="24"/>
      <c r="AK14" s="24"/>
    </row>
    <row r="15" ht="15.75" customHeight="1">
      <c r="A15" s="26" t="s">
        <v>43</v>
      </c>
      <c r="B15" s="148">
        <v>1.4</v>
      </c>
      <c r="C15" s="148">
        <v>1.36</v>
      </c>
      <c r="D15" s="148">
        <v>1.33</v>
      </c>
      <c r="E15" s="148">
        <v>1.27</v>
      </c>
      <c r="F15" s="148">
        <v>1.27</v>
      </c>
      <c r="G15" s="148">
        <v>1.25</v>
      </c>
      <c r="H15" s="148">
        <v>1.21</v>
      </c>
      <c r="I15" s="148">
        <v>1.19</v>
      </c>
      <c r="J15" s="147"/>
      <c r="K15" s="147"/>
      <c r="L15" s="147"/>
      <c r="M15" s="147"/>
      <c r="N15" s="147"/>
      <c r="O15" s="147"/>
      <c r="P15" s="147"/>
      <c r="Q15" s="61"/>
      <c r="R15" s="61"/>
      <c r="S15" s="61"/>
      <c r="T15" s="61"/>
      <c r="U15" s="61"/>
      <c r="V15" s="61"/>
      <c r="W15" s="61"/>
      <c r="X15" s="24"/>
      <c r="Y15" s="24"/>
      <c r="Z15" s="24"/>
      <c r="AA15" s="24"/>
      <c r="AB15" s="24"/>
      <c r="AC15" s="24"/>
      <c r="AD15" s="24"/>
      <c r="AE15" s="24"/>
      <c r="AF15" s="24"/>
      <c r="AG15" s="24"/>
      <c r="AH15" s="24"/>
      <c r="AI15" s="24"/>
      <c r="AJ15" s="24"/>
      <c r="AK15" s="24"/>
    </row>
    <row r="16" ht="15.75" customHeight="1">
      <c r="A16" s="26" t="s">
        <v>42</v>
      </c>
      <c r="B16" s="148">
        <v>1.34</v>
      </c>
      <c r="C16" s="148">
        <v>1.31</v>
      </c>
      <c r="D16" s="148">
        <v>1.27</v>
      </c>
      <c r="E16" s="148">
        <v>1.24</v>
      </c>
      <c r="F16" s="148">
        <v>1.25</v>
      </c>
      <c r="G16" s="148">
        <v>1.24</v>
      </c>
      <c r="H16" s="148">
        <v>1.2</v>
      </c>
      <c r="I16" s="148">
        <v>1.18</v>
      </c>
      <c r="J16" s="147"/>
      <c r="K16" s="147"/>
      <c r="L16" s="147"/>
      <c r="M16" s="147"/>
      <c r="N16" s="147"/>
      <c r="O16" s="147"/>
      <c r="P16" s="147"/>
      <c r="Q16" s="61"/>
      <c r="R16" s="61"/>
      <c r="S16" s="61"/>
      <c r="T16" s="61"/>
      <c r="U16" s="61"/>
      <c r="V16" s="61"/>
      <c r="W16" s="61"/>
      <c r="X16" s="24"/>
      <c r="Y16" s="24"/>
      <c r="Z16" s="24"/>
      <c r="AA16" s="24"/>
      <c r="AB16" s="24"/>
      <c r="AC16" s="24"/>
      <c r="AD16" s="24"/>
      <c r="AE16" s="24"/>
      <c r="AF16" s="24"/>
      <c r="AG16" s="24"/>
      <c r="AH16" s="24"/>
      <c r="AI16" s="24"/>
      <c r="AJ16" s="24"/>
      <c r="AK16" s="24"/>
    </row>
    <row r="17" ht="15.75" customHeight="1">
      <c r="A17" s="24" t="s">
        <v>45</v>
      </c>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row>
    <row r="18" ht="15.75" customHeight="1">
      <c r="A18" s="24" t="s">
        <v>135</v>
      </c>
      <c r="B18" s="124"/>
      <c r="C18" s="124"/>
      <c r="D18" s="124"/>
      <c r="E18" s="124"/>
      <c r="F18" s="124"/>
      <c r="G18" s="124"/>
      <c r="H18" s="124"/>
      <c r="I18" s="124"/>
      <c r="J18" s="124"/>
      <c r="K18" s="124"/>
      <c r="L18" s="124"/>
      <c r="M18" s="124"/>
      <c r="N18" s="124"/>
      <c r="O18" s="124"/>
      <c r="P18" s="124"/>
      <c r="Q18" s="124"/>
      <c r="R18" s="124"/>
      <c r="S18" s="124"/>
      <c r="T18" s="24"/>
      <c r="U18" s="24"/>
      <c r="V18" s="24"/>
      <c r="W18" s="24"/>
      <c r="X18" s="24"/>
      <c r="Y18" s="24"/>
      <c r="Z18" s="24"/>
      <c r="AA18" s="24"/>
      <c r="AB18" s="24"/>
      <c r="AC18" s="24"/>
      <c r="AD18" s="24"/>
      <c r="AE18" s="24"/>
      <c r="AF18" s="24"/>
      <c r="AG18" s="24"/>
      <c r="AH18" s="24"/>
      <c r="AI18" s="24"/>
      <c r="AJ18" s="24"/>
      <c r="AK18" s="24"/>
    </row>
    <row r="19" ht="15.75" customHeight="1">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row>
    <row r="20" ht="15.75" customHeight="1">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row>
    <row r="21" ht="15.75" customHeight="1">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row>
    <row r="22" ht="15.7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row>
    <row r="23" ht="15.7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row>
    <row r="24" ht="15.75" customHeight="1">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row>
    <row r="25"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row>
    <row r="26"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row>
    <row r="27"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row>
    <row r="28"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row>
    <row r="29"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row>
    <row r="30"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row>
    <row r="31"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row>
    <row r="32"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row>
    <row r="33"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row>
    <row r="34"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row>
    <row r="35"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row>
    <row r="36"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row>
    <row r="37"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row>
    <row r="38"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row>
    <row r="3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row>
    <row r="40"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row>
    <row r="41"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row>
    <row r="42"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row>
    <row r="43"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row>
    <row r="44"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row>
    <row r="45"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row>
    <row r="46"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row>
    <row r="47"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row>
    <row r="4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row>
    <row r="4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row>
    <row r="50"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row>
    <row r="51"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row>
    <row r="52"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row>
    <row r="53"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row>
    <row r="54"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row>
    <row r="55"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row>
    <row r="56"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row>
    <row r="57"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row>
    <row r="5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row>
    <row r="5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row>
    <row r="60"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row>
    <row r="61"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row>
    <row r="62"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row>
    <row r="63"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row>
    <row r="64"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row>
    <row r="65"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row>
    <row r="66"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row>
    <row r="67"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row>
    <row r="6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row>
    <row r="6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row>
    <row r="70"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row>
    <row r="71"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row>
    <row r="72"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row>
    <row r="73"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row>
    <row r="74"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row>
    <row r="75"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row>
    <row r="76"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row>
    <row r="77"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row>
    <row r="7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row>
    <row r="7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row>
    <row r="80"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row>
    <row r="81"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row>
    <row r="82"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row>
    <row r="83"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row>
    <row r="84"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row>
    <row r="85"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row>
    <row r="86"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row>
    <row r="87"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row>
    <row r="8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row>
    <row r="8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row>
    <row r="90"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row>
    <row r="91"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row>
    <row r="92"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row>
    <row r="93"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row>
    <row r="94"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row>
    <row r="95"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row>
    <row r="96"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row>
    <row r="97"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row>
    <row r="9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row>
    <row r="9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row>
    <row r="100"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row>
    <row r="101"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row>
    <row r="102"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row>
    <row r="103"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row>
    <row r="104"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row>
    <row r="105"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row>
    <row r="106"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row>
    <row r="107"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row>
    <row r="10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row>
    <row r="10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row>
    <row r="110"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row>
    <row r="111"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row>
    <row r="112"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row>
    <row r="113"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row>
    <row r="114"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row>
    <row r="115"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row>
    <row r="116"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row>
    <row r="117"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row>
    <row r="11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row>
    <row r="11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row>
    <row r="120"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row>
    <row r="121"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row>
    <row r="122"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row>
    <row r="123"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row>
    <row r="124"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row>
    <row r="125"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row>
    <row r="126"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row>
    <row r="127"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row>
    <row r="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row>
    <row r="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row>
    <row r="130"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row>
    <row r="131"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row>
    <row r="132"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row>
    <row r="133"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row>
    <row r="134"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row>
    <row r="135"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row>
    <row r="136"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row>
    <row r="137"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row>
    <row r="13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row>
    <row r="13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row>
    <row r="140"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row>
    <row r="141"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row>
    <row r="142"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row>
    <row r="143"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row>
    <row r="144"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row>
    <row r="145"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row>
    <row r="146"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row>
    <row r="147"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row>
    <row r="14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row>
    <row r="14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row>
    <row r="150"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row>
    <row r="151"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row>
    <row r="152"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row>
    <row r="153"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row>
    <row r="154"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row>
    <row r="155"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row>
    <row r="156"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row>
    <row r="157"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row>
    <row r="15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row>
    <row r="15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row>
    <row r="160"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row>
    <row r="161"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row>
    <row r="162"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row>
    <row r="163"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row>
    <row r="164"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row>
    <row r="165"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row>
    <row r="166"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row>
    <row r="167"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row>
    <row r="16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row>
    <row r="16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row>
    <row r="170"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row>
    <row r="171"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row>
    <row r="172"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row>
    <row r="173"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row>
    <row r="174"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row>
    <row r="175"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row>
    <row r="176"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row>
    <row r="177"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row>
    <row r="17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row>
    <row r="17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row>
    <row r="180"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row>
    <row r="181"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row>
    <row r="182"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row>
    <row r="183"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row>
    <row r="184"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row>
    <row r="185"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row>
    <row r="186"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row>
    <row r="187"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row>
    <row r="18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row>
    <row r="18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row>
    <row r="190"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row>
    <row r="191"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row>
    <row r="192"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row>
    <row r="193"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row>
    <row r="194"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row>
    <row r="195"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row>
    <row r="196"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row>
    <row r="197"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row>
    <row r="198"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row>
    <row r="199"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row>
    <row r="200"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row>
    <row r="201"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row>
    <row r="202"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row>
    <row r="203"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row>
    <row r="204"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row>
    <row r="205"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row>
    <row r="206"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row>
    <row r="207"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row>
    <row r="208"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row>
    <row r="209"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row>
    <row r="210"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row>
    <row r="211"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row>
    <row r="212"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row>
    <row r="213"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row>
    <row r="214"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row>
    <row r="215"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row>
    <row r="216"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row>
    <row r="217"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row>
    <row r="218"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row>
    <row r="219"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row>
    <row r="220"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row>
    <row r="221"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row>
    <row r="222"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row>
    <row r="223"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row>
    <row r="224"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row>
    <row r="225"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row>
    <row r="226"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row>
    <row r="227"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row>
    <row r="228"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row>
    <row r="229"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row>
    <row r="230"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row>
    <row r="231"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row>
    <row r="232"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row>
    <row r="233"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row>
    <row r="234"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row>
    <row r="235"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row>
    <row r="236"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row>
    <row r="237"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row>
    <row r="238"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row>
    <row r="239"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row>
    <row r="240"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row>
    <row r="241"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row>
    <row r="242"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row>
    <row r="243"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row>
    <row r="244"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row>
    <row r="245"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row>
    <row r="246"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row>
    <row r="247"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row>
    <row r="248"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row>
    <row r="249"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row>
    <row r="250"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row>
    <row r="251"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row>
    <row r="252"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row>
    <row r="253"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row>
    <row r="254"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row>
    <row r="255"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row>
    <row r="256"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row>
    <row r="257"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row>
    <row r="258"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row>
    <row r="259"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row>
    <row r="260"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row>
    <row r="261"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row>
    <row r="262"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row>
    <row r="263"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row>
    <row r="264"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row>
    <row r="265"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row>
    <row r="266"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row>
    <row r="267"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row>
    <row r="268"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row>
    <row r="269"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row>
    <row r="270"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row>
    <row r="271"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row>
    <row r="272"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row>
    <row r="273"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row>
    <row r="274"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row>
    <row r="275"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row>
    <row r="276"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row>
    <row r="277"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row>
    <row r="278"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row>
    <row r="279"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row>
    <row r="280"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row>
    <row r="281"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row>
    <row r="282"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row>
    <row r="283"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row>
    <row r="284"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row>
    <row r="285"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row>
    <row r="286"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row>
    <row r="287"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row>
    <row r="288"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row>
    <row r="289"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row>
    <row r="290"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row>
    <row r="291"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row>
    <row r="292"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row>
    <row r="293"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row>
    <row r="294"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row>
    <row r="295"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row>
    <row r="296"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row>
    <row r="297"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row>
    <row r="298"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row>
    <row r="299"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row>
    <row r="300"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row>
    <row r="301"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row>
    <row r="302"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row>
    <row r="303"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row>
    <row r="304"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row>
    <row r="305"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row>
    <row r="306"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row>
    <row r="307"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row>
    <row r="308"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row>
    <row r="309"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row>
    <row r="310"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row>
    <row r="311"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row>
    <row r="312"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row>
    <row r="313"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row>
    <row r="314"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row>
    <row r="315"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row>
    <row r="316"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row>
    <row r="317"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row>
    <row r="318"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row>
    <row r="319"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row>
    <row r="320"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row>
    <row r="321"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row>
    <row r="322"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row>
    <row r="323"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row>
    <row r="324"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row>
    <row r="325"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row>
    <row r="326"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row>
    <row r="327"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row>
    <row r="328"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row>
    <row r="329"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row>
    <row r="330"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row>
    <row r="331"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row>
    <row r="332"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row>
    <row r="333"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row>
    <row r="334"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row>
    <row r="335"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row>
    <row r="336"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row>
    <row r="337"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row>
    <row r="338"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row>
    <row r="339"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row>
    <row r="340"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row>
    <row r="341"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row>
    <row r="342"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row>
    <row r="343"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row>
    <row r="344"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row>
    <row r="345"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row>
    <row r="346"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row>
    <row r="347"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row>
    <row r="348"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row>
    <row r="349"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row>
    <row r="350"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row>
    <row r="351"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row>
    <row r="352"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row>
    <row r="353"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row>
    <row r="354"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row>
    <row r="355"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row>
    <row r="356"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row>
    <row r="357"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row>
    <row r="358"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row>
    <row r="359"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row>
    <row r="360"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row>
    <row r="361"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row>
    <row r="362"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row>
    <row r="363"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row>
    <row r="364"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row>
    <row r="365"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row>
    <row r="366"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row>
    <row r="367"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row>
    <row r="368"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row>
    <row r="369"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row>
    <row r="370"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row>
    <row r="371"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row>
    <row r="372"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row>
    <row r="373"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row>
    <row r="374"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row>
    <row r="375"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row>
    <row r="376"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row>
    <row r="377"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row>
    <row r="378"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row>
    <row r="379"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row>
    <row r="380"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row>
    <row r="381"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row>
    <row r="382"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row>
    <row r="383"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row>
    <row r="384"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row>
    <row r="385"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row>
    <row r="386"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row>
    <row r="387"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row>
    <row r="388"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row>
    <row r="389"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row>
    <row r="390"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row>
    <row r="391"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row>
    <row r="392"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row>
    <row r="394"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row>
    <row r="395"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row>
    <row r="396"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row>
    <row r="397"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row>
    <row r="398"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row>
    <row r="399"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row>
    <row r="400"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row>
    <row r="401"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row>
    <row r="402"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row>
    <row r="403"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row>
    <row r="404"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row>
    <row r="405"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row>
    <row r="406"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row>
    <row r="407"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row>
    <row r="408"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row>
    <row r="409"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row>
    <row r="410"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row>
    <row r="411"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row>
    <row r="412"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row>
    <row r="413"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row>
    <row r="414"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row>
    <row r="415"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row>
    <row r="416"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row>
    <row r="417"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row>
    <row r="418"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row>
    <row r="419"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row>
    <row r="420"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row>
    <row r="421"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row>
    <row r="422"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row>
    <row r="423"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row>
    <row r="424"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row>
    <row r="425"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row>
    <row r="426"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row>
    <row r="427"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row>
    <row r="428"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row>
    <row r="429"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row>
    <row r="430"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row>
    <row r="431"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row>
    <row r="432"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row>
    <row r="433"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row>
    <row r="434"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row>
    <row r="435"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row>
    <row r="436"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row>
    <row r="437"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row>
    <row r="438"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row>
    <row r="439"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row>
    <row r="440"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row>
    <row r="441"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row>
    <row r="442"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row>
    <row r="443"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row>
    <row r="444"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row>
    <row r="445"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row>
    <row r="446"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row>
    <row r="447"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row>
    <row r="448"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row>
    <row r="449"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row>
    <row r="450"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row>
    <row r="451"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row>
    <row r="452"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row>
    <row r="453"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row>
    <row r="454"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row>
    <row r="455"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row>
    <row r="456"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row>
    <row r="457"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row>
    <row r="458"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row>
    <row r="459"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row>
    <row r="460"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row>
    <row r="461"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row>
    <row r="462"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row>
    <row r="463"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row>
    <row r="464"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row>
    <row r="465"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row>
    <row r="466"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row>
    <row r="467"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row>
    <row r="468"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row>
    <row r="469"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row>
    <row r="470"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row>
    <row r="471"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row>
    <row r="472"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row>
    <row r="473"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row>
    <row r="474"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row>
    <row r="475"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row>
    <row r="476"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row>
    <row r="477"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row>
    <row r="478"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row>
    <row r="479"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row>
    <row r="480"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row>
    <row r="481"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row>
    <row r="482"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row>
    <row r="483"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row>
    <row r="484"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row>
    <row r="485"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row>
    <row r="486"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row>
    <row r="487"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row>
    <row r="488"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row>
    <row r="489"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row>
    <row r="490"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row>
    <row r="491"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row>
    <row r="492"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row>
    <row r="493"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row>
    <row r="494"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row>
    <row r="495"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row>
    <row r="496"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row>
    <row r="497"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row>
    <row r="498"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row>
    <row r="499"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row>
    <row r="500"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row>
    <row r="501"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row>
    <row r="502"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row>
    <row r="503"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row>
    <row r="504"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row>
    <row r="505"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row>
    <row r="506"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row>
    <row r="507"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row>
    <row r="508"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row>
    <row r="509"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row>
    <row r="510"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row>
    <row r="511"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row>
    <row r="512"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row>
    <row r="513"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row>
    <row r="514"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row>
    <row r="515"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row>
    <row r="516"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row>
    <row r="517"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row>
    <row r="518"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row>
    <row r="519"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row>
    <row r="520"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row>
    <row r="521"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row>
    <row r="522"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row>
    <row r="523"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row>
    <row r="524"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row>
    <row r="525"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row>
    <row r="526"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row>
    <row r="527"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row>
    <row r="528"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row>
    <row r="529"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row>
    <row r="530"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row>
    <row r="531"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row>
    <row r="532"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row>
    <row r="533"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row>
    <row r="534"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row>
    <row r="535"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row>
    <row r="536"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row>
    <row r="537"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row>
    <row r="538"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row>
    <row r="539"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row>
    <row r="540"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row>
    <row r="541"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row>
    <row r="542"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row>
    <row r="543"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row>
    <row r="544"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row>
    <row r="545"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row>
    <row r="546"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row>
    <row r="547"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row>
    <row r="548"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row>
    <row r="549"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row>
    <row r="550"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row>
    <row r="551"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row>
    <row r="552"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row>
    <row r="553"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row>
    <row r="554"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row>
    <row r="555"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row>
    <row r="556"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row>
    <row r="557"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row>
    <row r="558"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row>
    <row r="559"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row>
    <row r="560"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row>
    <row r="561"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row>
    <row r="562"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row>
    <row r="563"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row>
    <row r="564"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row>
    <row r="565"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row>
    <row r="566"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row>
    <row r="567"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row>
    <row r="568"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row>
    <row r="569"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row>
    <row r="570"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row>
    <row r="571"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row>
    <row r="572"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row>
    <row r="573"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row>
    <row r="574"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row>
    <row r="575"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row>
    <row r="576"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row>
    <row r="577"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row>
    <row r="578"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row>
    <row r="579"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row>
    <row r="580"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row>
    <row r="581"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row>
    <row r="582"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row>
    <row r="583"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row>
    <row r="584"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row>
    <row r="585"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row>
    <row r="586"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row>
    <row r="587"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row>
    <row r="588"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row>
    <row r="589"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row>
    <row r="590"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row>
    <row r="591"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row>
    <row r="592"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row>
    <row r="593"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row>
    <row r="594"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row>
    <row r="595"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row>
    <row r="596"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row>
    <row r="597"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row>
    <row r="598"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row>
    <row r="599"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row>
    <row r="600"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row>
    <row r="601"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row>
    <row r="602"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row>
    <row r="603"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row>
    <row r="604"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row>
    <row r="605"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row>
    <row r="606"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row>
    <row r="607"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row>
    <row r="608"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row>
    <row r="609"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row>
    <row r="610"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row>
    <row r="611"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row>
    <row r="612"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row>
    <row r="613"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row>
    <row r="614"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row>
    <row r="615"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row>
    <row r="616"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row>
    <row r="617"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row>
    <row r="618"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row>
    <row r="619"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row>
    <row r="620"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row>
    <row r="621"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row>
    <row r="622"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row>
    <row r="623"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row>
    <row r="624"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row>
    <row r="625"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row>
    <row r="626"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row>
    <row r="627"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row>
    <row r="628"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row>
    <row r="629"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row>
    <row r="630"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row>
    <row r="631"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row>
    <row r="632"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row>
    <row r="633"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row>
    <row r="634"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row>
    <row r="635"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row>
    <row r="636"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row>
    <row r="637"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row>
    <row r="638"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row>
    <row r="639"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row>
    <row r="640"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row>
    <row r="641"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row>
    <row r="642"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row>
    <row r="643"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row>
    <row r="644"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row>
    <row r="645"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row>
    <row r="646"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row>
    <row r="647"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row>
    <row r="648"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row>
    <row r="649"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row>
    <row r="650"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row>
    <row r="651"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row>
    <row r="652"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row>
    <row r="653"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row>
    <row r="654"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row>
    <row r="655"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row>
    <row r="656"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row>
    <row r="657"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row>
    <row r="658"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row>
    <row r="659"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row>
    <row r="660"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row>
    <row r="661"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row>
    <row r="662"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row>
    <row r="663"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row>
    <row r="664"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row>
    <row r="665"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row>
    <row r="666"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row>
    <row r="667"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row>
    <row r="668"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row>
    <row r="669"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row>
    <row r="670"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row>
    <row r="671"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row>
    <row r="672"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row>
    <row r="673"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row>
    <row r="674"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row>
    <row r="675"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row>
    <row r="676"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row>
    <row r="677"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row>
    <row r="678"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row>
    <row r="679"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row>
    <row r="680"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row>
    <row r="681"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row>
    <row r="682"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row>
    <row r="683"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row>
    <row r="684"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row>
    <row r="685"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row>
    <row r="686"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row>
    <row r="687"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row>
    <row r="688"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row>
    <row r="689"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row>
    <row r="690"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row>
    <row r="691"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row>
    <row r="692"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row>
    <row r="693"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row>
    <row r="694"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row>
    <row r="695"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row>
    <row r="696"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row>
    <row r="697"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row>
    <row r="698"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row>
    <row r="699"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row>
    <row r="700"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row>
    <row r="701"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row>
    <row r="702"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row>
    <row r="703"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row>
    <row r="704"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row>
    <row r="705"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row>
    <row r="706"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row>
    <row r="707"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row>
    <row r="708"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row>
    <row r="709"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row>
    <row r="710"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row>
    <row r="711"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row>
    <row r="712"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row>
    <row r="713"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row>
    <row r="714"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row>
    <row r="715"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row>
    <row r="716"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row>
    <row r="717"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row>
    <row r="718"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row>
    <row r="719"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row>
    <row r="720"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row>
    <row r="721"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row>
    <row r="722"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row>
    <row r="723"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row>
    <row r="724"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row>
    <row r="725"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row>
    <row r="726"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row>
    <row r="727"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row>
    <row r="728"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row>
    <row r="729"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row>
    <row r="730"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row>
    <row r="731"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row>
    <row r="732"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row>
    <row r="733"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row>
    <row r="734"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row>
    <row r="735"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row>
    <row r="736"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row>
    <row r="737"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row>
    <row r="738"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row>
    <row r="739"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row>
    <row r="740"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row>
    <row r="741"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row>
    <row r="742"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row>
    <row r="743"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row>
    <row r="744"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row>
    <row r="745"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row>
    <row r="746"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row>
    <row r="747"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row>
    <row r="748"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row>
    <row r="749"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row>
    <row r="750"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row>
    <row r="751"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row>
    <row r="752"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row>
    <row r="753"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row>
    <row r="754"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row>
    <row r="755"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row>
    <row r="756"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row>
    <row r="757"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row>
    <row r="758"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row>
    <row r="759"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row>
    <row r="760"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row>
    <row r="761"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row>
    <row r="762"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row>
    <row r="763"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row>
    <row r="764"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row>
    <row r="765"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row>
    <row r="766"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row>
    <row r="767"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row>
    <row r="768"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row>
    <row r="769"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row>
    <row r="770"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row>
    <row r="771"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row>
    <row r="772"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row>
    <row r="773"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row>
    <row r="774"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row>
    <row r="775"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row>
    <row r="776"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row>
    <row r="777"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row>
    <row r="778"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row>
    <row r="779"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row>
    <row r="780"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row>
    <row r="781"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row>
    <row r="782"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row>
    <row r="783"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row>
    <row r="784"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row>
    <row r="785"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row>
    <row r="786"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row>
    <row r="787"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row>
    <row r="788"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row>
    <row r="789"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row>
    <row r="790"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row>
    <row r="791"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row>
    <row r="792"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row>
    <row r="793"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row>
    <row r="794"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row>
    <row r="795"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row>
    <row r="796"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row>
    <row r="797"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row>
    <row r="798"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row>
    <row r="799"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row>
    <row r="800"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row>
    <row r="801"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row>
    <row r="802"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row>
    <row r="803"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row>
    <row r="804"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row>
    <row r="805"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row>
    <row r="806"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row>
    <row r="807"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row>
    <row r="808"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row>
    <row r="809"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row>
    <row r="810"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row>
    <row r="811"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row>
    <row r="812"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row>
    <row r="813"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row>
    <row r="814"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row>
    <row r="815"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row>
    <row r="816"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row>
    <row r="817"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row>
    <row r="818"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row>
    <row r="819"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row>
    <row r="820"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row>
    <row r="821"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row>
    <row r="822"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row>
    <row r="823"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row>
    <row r="824"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row>
    <row r="825"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row>
    <row r="826"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row>
    <row r="827"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row>
    <row r="828"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row>
    <row r="829"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row>
    <row r="830"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row>
    <row r="831"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row>
    <row r="832"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row>
    <row r="833"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row>
    <row r="834"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row>
    <row r="835"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row>
    <row r="836"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row>
    <row r="837"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row>
    <row r="838"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row>
    <row r="839"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row>
    <row r="840"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row>
    <row r="841"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row>
    <row r="842"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row>
    <row r="843"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row>
    <row r="844"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row>
    <row r="845"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row>
    <row r="846"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row>
    <row r="847"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row>
    <row r="848"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row>
    <row r="849"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row>
    <row r="850"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row>
    <row r="851"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row>
    <row r="852"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row>
    <row r="853"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row>
    <row r="854"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row>
    <row r="855"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row>
    <row r="856"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row>
    <row r="857"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row>
    <row r="858"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row>
    <row r="859"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row>
    <row r="860"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row>
    <row r="861"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row>
    <row r="862"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row>
    <row r="863"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row>
    <row r="864"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row>
    <row r="865"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row>
    <row r="866"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row>
    <row r="867"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row>
    <row r="868"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row>
    <row r="869"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row>
    <row r="870"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row>
    <row r="871"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row>
    <row r="872"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row>
    <row r="873"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row>
    <row r="874"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row>
    <row r="875"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row>
    <row r="876"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row>
    <row r="877"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row>
    <row r="878"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row>
    <row r="879"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row>
    <row r="880"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row>
    <row r="881"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row>
    <row r="882"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row>
    <row r="883"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row>
    <row r="884"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row>
    <row r="885"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row>
    <row r="886"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row>
    <row r="887"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row>
    <row r="888"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row>
    <row r="889"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row>
    <row r="890"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row>
    <row r="891"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row>
    <row r="892"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row>
    <row r="893"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row>
    <row r="894"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row>
    <row r="895"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row>
    <row r="896"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row>
    <row r="897"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row>
    <row r="898"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row>
    <row r="899"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row>
    <row r="900"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row>
    <row r="901"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row>
    <row r="902"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row>
    <row r="903"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row>
    <row r="904"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row>
    <row r="905"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row>
    <row r="906"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row>
    <row r="907"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row>
    <row r="908"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row>
    <row r="909"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row>
    <row r="910"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row>
    <row r="911"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row>
    <row r="912"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row>
    <row r="913"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row>
    <row r="914"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row>
    <row r="915"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row>
    <row r="916"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row>
    <row r="917"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row>
    <row r="918"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row>
    <row r="919"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row>
    <row r="920"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row>
    <row r="921"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row>
    <row r="922"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row>
    <row r="923"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row>
    <row r="924"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row>
    <row r="925"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row>
    <row r="926"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row>
    <row r="927"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row>
    <row r="928"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row>
    <row r="929"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row>
    <row r="930"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row>
    <row r="931"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row>
    <row r="932"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row>
    <row r="933"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row>
    <row r="934"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row>
    <row r="935"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row>
    <row r="936"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row>
    <row r="937"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row>
    <row r="938"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row>
    <row r="939"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row>
    <row r="940"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row>
    <row r="941"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row>
    <row r="942"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row>
    <row r="943"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row>
    <row r="944"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row>
    <row r="945"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row>
    <row r="946"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row>
    <row r="947"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row>
    <row r="948"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row>
    <row r="949"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row>
    <row r="950"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row>
    <row r="951"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row>
    <row r="952"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row>
    <row r="953"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row>
    <row r="954"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row>
    <row r="955"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row>
    <row r="956"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row>
    <row r="957"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row>
    <row r="958"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row>
    <row r="959"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row>
    <row r="960"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row>
    <row r="961"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row>
    <row r="962"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row>
    <row r="963"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row>
    <row r="964"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row>
    <row r="965"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row>
    <row r="966" ht="15.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row>
    <row r="967" ht="15.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row>
    <row r="968" ht="15.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row>
    <row r="969" ht="15.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row>
    <row r="970" ht="15.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row>
    <row r="971" ht="15.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row>
    <row r="972" ht="15.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row>
    <row r="973" ht="15.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row>
    <row r="974" ht="15.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row>
    <row r="975" ht="15.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row>
    <row r="976" ht="15.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row>
    <row r="977" ht="15.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row>
    <row r="978" ht="15.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row>
    <row r="979" ht="15.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row>
    <row r="980" ht="15.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row>
    <row r="981" ht="15.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row>
    <row r="982" ht="15.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row>
    <row r="983" ht="15.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row>
    <row r="984" ht="15.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row>
    <row r="985" ht="15.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row>
    <row r="986" ht="15.7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row>
    <row r="987" ht="15.75"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row>
    <row r="988" ht="15.75"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row>
    <row r="989" ht="15.75"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row>
    <row r="990" ht="15.75"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row>
    <row r="991" ht="15.75"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row>
    <row r="992" ht="15.75"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row>
    <row r="993" ht="15.75"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row>
    <row r="994" ht="15.75"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row>
    <row r="995" ht="15.75"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row>
    <row r="996" ht="15.75"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row>
    <row r="997" ht="15.75"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row>
    <row r="998" ht="15.75"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row>
    <row r="999" ht="15.75"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row>
    <row r="1000" ht="15.75"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row>
    <row r="1001" ht="15.75" customHeight="1">
      <c r="A1001" s="24"/>
      <c r="B1001" s="24"/>
      <c r="C1001" s="24"/>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row>
    <row r="1002" ht="15.75" customHeight="1">
      <c r="A1002" s="24"/>
      <c r="B1002" s="24"/>
      <c r="C1002" s="24"/>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row>
    <row r="1003" ht="15.75" customHeight="1">
      <c r="A1003" s="24"/>
      <c r="B1003" s="24"/>
      <c r="C1003" s="24"/>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row>
    <row r="1004" ht="15.75" customHeight="1">
      <c r="A1004" s="24"/>
      <c r="B1004" s="24"/>
      <c r="C1004" s="24"/>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row>
  </sheetData>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36" width="11.13"/>
  </cols>
  <sheetData>
    <row r="1" ht="15.75" customHeight="1">
      <c r="A1" s="142" t="s">
        <v>136</v>
      </c>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row>
    <row r="2" ht="15.75" customHeight="1">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row>
    <row r="3" ht="15.75" customHeight="1">
      <c r="A3" s="103"/>
      <c r="B3" s="103">
        <v>2005.0</v>
      </c>
      <c r="C3" s="103">
        <v>2006.0</v>
      </c>
      <c r="D3" s="103">
        <v>2007.0</v>
      </c>
      <c r="E3" s="103">
        <v>2008.0</v>
      </c>
      <c r="F3" s="103">
        <v>2009.0</v>
      </c>
      <c r="G3" s="103">
        <v>2010.0</v>
      </c>
      <c r="H3" s="103">
        <v>2011.0</v>
      </c>
      <c r="I3" s="103">
        <v>2012.0</v>
      </c>
      <c r="J3" s="103">
        <v>2013.0</v>
      </c>
      <c r="K3" s="103">
        <v>2014.0</v>
      </c>
      <c r="L3" s="103">
        <v>2015.0</v>
      </c>
      <c r="M3" s="103">
        <v>2016.0</v>
      </c>
      <c r="N3" s="103">
        <v>2017.0</v>
      </c>
      <c r="O3" s="103">
        <v>2018.0</v>
      </c>
      <c r="P3" s="103">
        <v>2019.0</v>
      </c>
      <c r="Q3" s="103">
        <v>2020.0</v>
      </c>
      <c r="R3" s="103">
        <v>2021.0</v>
      </c>
      <c r="S3" s="103">
        <v>2022.0</v>
      </c>
      <c r="T3" s="103">
        <v>2023.0</v>
      </c>
      <c r="U3" s="103">
        <v>2024.0</v>
      </c>
      <c r="V3" s="103">
        <v>2025.0</v>
      </c>
      <c r="W3" s="24"/>
      <c r="X3" s="24"/>
      <c r="Y3" s="24"/>
      <c r="Z3" s="24"/>
      <c r="AA3" s="24"/>
      <c r="AB3" s="24"/>
      <c r="AC3" s="24"/>
      <c r="AD3" s="24"/>
      <c r="AE3" s="24"/>
      <c r="AF3" s="24"/>
      <c r="AG3" s="24"/>
      <c r="AH3" s="24"/>
      <c r="AI3" s="24"/>
      <c r="AJ3" s="24"/>
    </row>
    <row r="4" ht="15.75" customHeight="1">
      <c r="A4" s="103" t="s">
        <v>42</v>
      </c>
      <c r="B4" s="108">
        <v>42.5</v>
      </c>
      <c r="C4" s="108">
        <v>42.7</v>
      </c>
      <c r="D4" s="108">
        <v>42.9</v>
      </c>
      <c r="E4" s="108">
        <v>43.1</v>
      </c>
      <c r="F4" s="108">
        <v>43.2</v>
      </c>
      <c r="G4" s="108">
        <v>43.4</v>
      </c>
      <c r="H4" s="108">
        <v>43.6</v>
      </c>
      <c r="I4" s="108">
        <v>43.8</v>
      </c>
      <c r="J4" s="108">
        <v>44.0</v>
      </c>
      <c r="K4" s="108">
        <v>44.2</v>
      </c>
      <c r="L4" s="108">
        <v>44.5</v>
      </c>
      <c r="M4" s="108">
        <v>44.7</v>
      </c>
      <c r="N4" s="108">
        <v>45.0</v>
      </c>
      <c r="O4" s="108">
        <v>45.2</v>
      </c>
      <c r="P4" s="108">
        <v>45.5</v>
      </c>
      <c r="Q4" s="108">
        <v>45.7</v>
      </c>
      <c r="R4" s="108">
        <v>45.9</v>
      </c>
      <c r="S4" s="108">
        <v>46.2</v>
      </c>
      <c r="T4" s="108">
        <v>46.4</v>
      </c>
      <c r="U4" s="108">
        <v>46.6</v>
      </c>
      <c r="V4" s="108">
        <v>46.8</v>
      </c>
      <c r="W4" s="24"/>
      <c r="X4" s="24"/>
      <c r="Y4" s="24"/>
      <c r="Z4" s="24"/>
      <c r="AA4" s="24"/>
      <c r="AB4" s="24"/>
      <c r="AC4" s="24"/>
      <c r="AD4" s="24"/>
      <c r="AE4" s="24"/>
      <c r="AF4" s="24"/>
      <c r="AG4" s="24"/>
      <c r="AH4" s="24"/>
      <c r="AI4" s="24"/>
      <c r="AJ4" s="24"/>
    </row>
    <row r="5" ht="15.75" customHeight="1">
      <c r="A5" s="25" t="s">
        <v>43</v>
      </c>
      <c r="B5" s="108">
        <v>42.9</v>
      </c>
      <c r="C5" s="108">
        <v>43.0</v>
      </c>
      <c r="D5" s="108">
        <v>43.2</v>
      </c>
      <c r="E5" s="108">
        <v>43.3</v>
      </c>
      <c r="F5" s="108">
        <v>43.4</v>
      </c>
      <c r="G5" s="108">
        <v>43.5</v>
      </c>
      <c r="H5" s="108">
        <v>43.7</v>
      </c>
      <c r="I5" s="108">
        <v>43.8</v>
      </c>
      <c r="J5" s="108">
        <v>44.0</v>
      </c>
      <c r="K5" s="108">
        <v>44.2</v>
      </c>
      <c r="L5" s="108">
        <v>44.4</v>
      </c>
      <c r="M5" s="108">
        <v>44.6</v>
      </c>
      <c r="N5" s="108">
        <v>44.9</v>
      </c>
      <c r="O5" s="108">
        <v>45.1</v>
      </c>
      <c r="P5" s="108">
        <v>45.3</v>
      </c>
      <c r="Q5" s="108">
        <v>45.5</v>
      </c>
      <c r="R5" s="108">
        <v>45.6</v>
      </c>
      <c r="S5" s="108">
        <v>45.9</v>
      </c>
      <c r="T5" s="108">
        <v>46.0</v>
      </c>
      <c r="U5" s="108">
        <v>46.2</v>
      </c>
      <c r="V5" s="108">
        <v>46.4</v>
      </c>
      <c r="W5" s="24"/>
      <c r="X5" s="24"/>
      <c r="Y5" s="24"/>
      <c r="Z5" s="24"/>
      <c r="AA5" s="24"/>
      <c r="AB5" s="24"/>
      <c r="AC5" s="24"/>
      <c r="AD5" s="24"/>
      <c r="AE5" s="24"/>
      <c r="AF5" s="24"/>
      <c r="AG5" s="24"/>
      <c r="AH5" s="24"/>
      <c r="AI5" s="24"/>
      <c r="AJ5" s="24"/>
    </row>
    <row r="6" ht="15.75" customHeight="1">
      <c r="A6" s="25" t="s">
        <v>44</v>
      </c>
      <c r="B6" s="108">
        <v>41.6</v>
      </c>
      <c r="C6" s="108">
        <v>41.8</v>
      </c>
      <c r="D6" s="108">
        <v>41.9</v>
      </c>
      <c r="E6" s="108">
        <v>42.0</v>
      </c>
      <c r="F6" s="108">
        <v>42.1</v>
      </c>
      <c r="G6" s="108">
        <v>42.3</v>
      </c>
      <c r="H6" s="108">
        <v>42.4</v>
      </c>
      <c r="I6" s="108">
        <v>42.6</v>
      </c>
      <c r="J6" s="108">
        <v>42.8</v>
      </c>
      <c r="K6" s="108">
        <v>43.1</v>
      </c>
      <c r="L6" s="108">
        <v>43.4</v>
      </c>
      <c r="M6" s="108">
        <v>43.7</v>
      </c>
      <c r="N6" s="108">
        <v>44.0</v>
      </c>
      <c r="O6" s="108">
        <v>44.3</v>
      </c>
      <c r="P6" s="108">
        <v>44.5</v>
      </c>
      <c r="Q6" s="108">
        <v>44.8</v>
      </c>
      <c r="R6" s="108">
        <v>45.0</v>
      </c>
      <c r="S6" s="108">
        <v>45.2</v>
      </c>
      <c r="T6" s="108">
        <v>45.4</v>
      </c>
      <c r="U6" s="108">
        <v>45.7</v>
      </c>
      <c r="V6" s="108">
        <v>45.9</v>
      </c>
      <c r="W6" s="24"/>
      <c r="X6" s="24"/>
      <c r="Y6" s="24"/>
      <c r="Z6" s="24"/>
      <c r="AA6" s="24"/>
      <c r="AB6" s="24"/>
      <c r="AC6" s="24"/>
      <c r="AD6" s="24"/>
      <c r="AE6" s="24"/>
      <c r="AF6" s="24"/>
      <c r="AG6" s="24"/>
      <c r="AH6" s="24"/>
      <c r="AI6" s="24"/>
      <c r="AJ6" s="24"/>
    </row>
    <row r="7" ht="15.75" customHeight="1">
      <c r="A7" s="24" t="s">
        <v>45</v>
      </c>
      <c r="B7" s="24"/>
      <c r="C7" s="24"/>
      <c r="D7" s="24"/>
      <c r="E7" s="24"/>
      <c r="F7" s="24"/>
      <c r="G7" s="24"/>
      <c r="H7" s="24"/>
      <c r="I7" s="24"/>
      <c r="J7" s="24"/>
      <c r="K7" s="24"/>
      <c r="L7" s="24"/>
      <c r="M7" s="24"/>
      <c r="N7" s="24"/>
      <c r="O7" s="24"/>
      <c r="P7" s="24"/>
      <c r="Q7" s="24"/>
      <c r="R7" s="24"/>
      <c r="S7" s="150"/>
      <c r="T7" s="24"/>
      <c r="U7" s="24"/>
      <c r="V7" s="24"/>
      <c r="W7" s="24"/>
      <c r="X7" s="24"/>
      <c r="Y7" s="24"/>
      <c r="Z7" s="24"/>
      <c r="AA7" s="24"/>
      <c r="AB7" s="24"/>
      <c r="AC7" s="24"/>
      <c r="AD7" s="24"/>
      <c r="AE7" s="24"/>
      <c r="AF7" s="24"/>
      <c r="AG7" s="24"/>
      <c r="AH7" s="24"/>
      <c r="AI7" s="24"/>
      <c r="AJ7" s="24"/>
    </row>
    <row r="8" ht="15.75" customHeight="1">
      <c r="A8" s="24" t="s">
        <v>137</v>
      </c>
      <c r="B8" s="24"/>
      <c r="C8" s="24"/>
      <c r="D8" s="24"/>
      <c r="E8" s="24"/>
      <c r="F8" s="24"/>
      <c r="G8" s="24"/>
      <c r="H8" s="24"/>
      <c r="I8" s="24"/>
      <c r="J8" s="24"/>
      <c r="K8" s="24"/>
      <c r="L8" s="24"/>
      <c r="M8" s="24"/>
      <c r="N8" s="24"/>
      <c r="O8" s="24"/>
      <c r="P8" s="24"/>
      <c r="Q8" s="24"/>
      <c r="R8" s="24"/>
      <c r="S8" s="150"/>
      <c r="T8" s="24"/>
      <c r="U8" s="24"/>
      <c r="V8" s="24"/>
      <c r="W8" s="24"/>
      <c r="X8" s="24"/>
      <c r="Y8" s="24"/>
      <c r="Z8" s="24"/>
      <c r="AA8" s="24"/>
      <c r="AB8" s="24"/>
      <c r="AC8" s="24"/>
      <c r="AD8" s="24"/>
      <c r="AE8" s="24"/>
      <c r="AF8" s="24"/>
      <c r="AG8" s="24"/>
      <c r="AH8" s="24"/>
      <c r="AI8" s="24"/>
      <c r="AJ8" s="24"/>
    </row>
    <row r="9" ht="15.75" customHeight="1">
      <c r="A9" s="24"/>
      <c r="B9" s="24"/>
      <c r="C9" s="24"/>
      <c r="D9" s="24"/>
      <c r="E9" s="24"/>
      <c r="F9" s="24"/>
      <c r="G9" s="24"/>
      <c r="H9" s="24"/>
      <c r="I9" s="24"/>
      <c r="J9" s="24"/>
      <c r="K9" s="24"/>
      <c r="L9" s="24"/>
      <c r="M9" s="24"/>
      <c r="N9" s="24"/>
      <c r="O9" s="24"/>
      <c r="P9" s="24"/>
      <c r="Q9" s="24"/>
      <c r="R9" s="24"/>
      <c r="S9" s="150"/>
      <c r="T9" s="24"/>
      <c r="U9" s="24"/>
      <c r="V9" s="24"/>
      <c r="W9" s="24"/>
      <c r="X9" s="24"/>
      <c r="Y9" s="24"/>
      <c r="Z9" s="24"/>
      <c r="AA9" s="24"/>
      <c r="AB9" s="24"/>
      <c r="AC9" s="24"/>
      <c r="AD9" s="24"/>
      <c r="AE9" s="24"/>
      <c r="AF9" s="24"/>
      <c r="AG9" s="24"/>
      <c r="AH9" s="24"/>
      <c r="AI9" s="24"/>
      <c r="AJ9" s="24"/>
    </row>
    <row r="10" ht="15.75" customHeight="1">
      <c r="A10" s="24"/>
      <c r="B10" s="24"/>
      <c r="C10" s="24"/>
      <c r="D10" s="24"/>
      <c r="E10" s="24"/>
      <c r="F10" s="24"/>
      <c r="G10" s="24"/>
      <c r="H10" s="24"/>
      <c r="I10" s="24"/>
      <c r="J10" s="24"/>
      <c r="K10" s="24"/>
      <c r="L10" s="24"/>
      <c r="M10" s="24"/>
      <c r="N10" s="24"/>
      <c r="O10" s="24"/>
      <c r="P10" s="24"/>
      <c r="Q10" s="24"/>
      <c r="R10" s="24"/>
      <c r="S10" s="150"/>
      <c r="T10" s="24"/>
      <c r="U10" s="24"/>
      <c r="V10" s="24"/>
      <c r="W10" s="24"/>
      <c r="X10" s="24"/>
      <c r="Y10" s="24"/>
      <c r="Z10" s="24"/>
      <c r="AA10" s="24"/>
      <c r="AB10" s="24"/>
      <c r="AC10" s="24"/>
      <c r="AD10" s="24"/>
      <c r="AE10" s="24"/>
      <c r="AF10" s="24"/>
      <c r="AG10" s="24"/>
      <c r="AH10" s="24"/>
      <c r="AI10" s="24"/>
      <c r="AJ10" s="24"/>
    </row>
    <row r="11" ht="15.75" customHeight="1">
      <c r="A11" s="24"/>
      <c r="B11" s="24"/>
      <c r="C11" s="24"/>
      <c r="D11" s="24"/>
      <c r="E11" s="24"/>
      <c r="F11" s="24"/>
      <c r="G11" s="24"/>
      <c r="H11" s="24"/>
      <c r="I11" s="24"/>
      <c r="J11" s="24"/>
      <c r="K11" s="24"/>
      <c r="L11" s="24"/>
      <c r="M11" s="24"/>
      <c r="N11" s="24"/>
      <c r="O11" s="24"/>
      <c r="P11" s="24"/>
      <c r="Q11" s="24"/>
      <c r="R11" s="24"/>
      <c r="S11" s="150"/>
      <c r="T11" s="24"/>
      <c r="U11" s="24"/>
      <c r="V11" s="24"/>
      <c r="W11" s="24"/>
      <c r="X11" s="24"/>
      <c r="Y11" s="24"/>
      <c r="Z11" s="24"/>
      <c r="AA11" s="24"/>
      <c r="AB11" s="24"/>
      <c r="AC11" s="24"/>
      <c r="AD11" s="24"/>
      <c r="AE11" s="24"/>
      <c r="AF11" s="24"/>
      <c r="AG11" s="24"/>
      <c r="AH11" s="24"/>
      <c r="AI11" s="24"/>
      <c r="AJ11" s="24"/>
    </row>
    <row r="12" ht="15.75" customHeight="1">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row>
    <row r="13" ht="15.75" customHeight="1">
      <c r="A13" s="24"/>
      <c r="B13" s="24"/>
      <c r="C13" s="24"/>
      <c r="D13" s="24"/>
      <c r="E13" s="24"/>
      <c r="F13" s="24"/>
      <c r="G13" s="24"/>
      <c r="H13" s="24"/>
      <c r="I13" s="24"/>
      <c r="J13" s="24"/>
      <c r="K13" s="24"/>
      <c r="L13" s="24"/>
      <c r="M13" s="24"/>
      <c r="N13" s="24"/>
      <c r="O13" s="143"/>
      <c r="P13" s="24"/>
      <c r="Q13" s="24"/>
      <c r="R13" s="24"/>
      <c r="S13" s="24"/>
      <c r="T13" s="24"/>
      <c r="U13" s="24"/>
      <c r="V13" s="24"/>
      <c r="W13" s="24"/>
      <c r="X13" s="24"/>
      <c r="Y13" s="24"/>
      <c r="Z13" s="24"/>
      <c r="AA13" s="24"/>
      <c r="AB13" s="24"/>
      <c r="AC13" s="24"/>
      <c r="AD13" s="24"/>
      <c r="AE13" s="24"/>
      <c r="AF13" s="24"/>
      <c r="AG13" s="24"/>
      <c r="AH13" s="24"/>
      <c r="AI13" s="24"/>
      <c r="AJ13" s="24"/>
    </row>
    <row r="14" ht="15.75" customHeight="1">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row>
    <row r="15" ht="15.75" customHeight="1">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row>
    <row r="16" ht="15.75" customHeight="1">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row>
    <row r="17" ht="15.75" customHeight="1">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row>
    <row r="18" ht="15.75" customHeight="1">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row>
    <row r="19" ht="15.75" customHeight="1">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row>
    <row r="20" ht="15.75" customHeight="1">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row>
    <row r="21" ht="15.75" customHeight="1">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row>
    <row r="22" ht="15.7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row>
    <row r="23" ht="15.7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row>
    <row r="24" ht="15.75" customHeight="1">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row>
    <row r="25"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row>
    <row r="26"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row>
    <row r="27"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row>
    <row r="28"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row>
    <row r="29"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row>
    <row r="30"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row>
    <row r="31"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row>
    <row r="32"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row>
    <row r="33"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row>
    <row r="34"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row>
    <row r="35"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row>
    <row r="36"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row>
    <row r="37"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row>
    <row r="38"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row>
    <row r="3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row>
    <row r="40"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row>
    <row r="41"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row>
    <row r="42"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row>
    <row r="43"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row>
    <row r="44"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row>
    <row r="45"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row>
    <row r="46"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row>
    <row r="47"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row>
    <row r="4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row>
    <row r="4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row>
    <row r="50"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row>
    <row r="51"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row>
    <row r="52"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row>
    <row r="53"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row>
    <row r="54"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row>
    <row r="55"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row>
    <row r="56"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row>
    <row r="57"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row>
    <row r="5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row>
    <row r="5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row>
    <row r="60"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row>
    <row r="61"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row>
    <row r="62"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row>
    <row r="63"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row>
    <row r="64"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row>
    <row r="65"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row>
    <row r="66"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row>
    <row r="67"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row>
    <row r="6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row>
    <row r="6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row>
    <row r="70"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row>
    <row r="71"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row>
    <row r="72"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row>
    <row r="73"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row>
    <row r="74"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row>
    <row r="75"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row>
    <row r="76"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row>
    <row r="77"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row>
    <row r="7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row>
    <row r="7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row>
    <row r="80"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row>
    <row r="81"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row>
    <row r="82"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row>
    <row r="83"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row>
    <row r="84"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row>
    <row r="85"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row>
    <row r="86"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row>
    <row r="87"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row>
    <row r="8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row>
    <row r="8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row>
    <row r="90"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row>
    <row r="91"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row>
    <row r="92"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row>
    <row r="93"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row>
    <row r="94"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row>
    <row r="95"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row>
    <row r="96"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row>
    <row r="97"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row>
    <row r="9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row>
    <row r="9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row>
    <row r="100"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row>
    <row r="101"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row>
    <row r="102"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row>
    <row r="103"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row>
    <row r="104"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row>
    <row r="105"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row>
    <row r="106"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row>
    <row r="107"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row>
    <row r="10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row>
    <row r="10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row>
    <row r="110"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row>
    <row r="111"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row>
    <row r="112"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row>
    <row r="113"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row>
    <row r="114"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row>
    <row r="115"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row>
    <row r="116"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row>
    <row r="117"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row>
    <row r="11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row>
    <row r="11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row>
    <row r="120"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row>
    <row r="121"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row>
    <row r="122"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row>
    <row r="123"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row>
    <row r="124"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row>
    <row r="125"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row>
    <row r="126"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row>
    <row r="127"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row>
    <row r="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row>
    <row r="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row>
    <row r="130"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row>
    <row r="131"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row>
    <row r="132"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row>
    <row r="133"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row>
    <row r="134"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row>
    <row r="135"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row>
    <row r="136"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row>
    <row r="137"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row>
    <row r="13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row>
    <row r="13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row>
    <row r="140"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row>
    <row r="141"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row>
    <row r="142"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row>
    <row r="143"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row>
    <row r="144"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row>
    <row r="145"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row>
    <row r="146"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row>
    <row r="147"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row>
    <row r="14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row>
    <row r="14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row>
    <row r="150"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row>
    <row r="151"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row>
    <row r="152"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row>
    <row r="153"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row>
    <row r="154"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row>
    <row r="155"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row>
    <row r="156"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row>
    <row r="157"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row>
    <row r="15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row>
    <row r="15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row>
    <row r="160"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row>
    <row r="161"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row>
    <row r="162"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row>
    <row r="163"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row>
    <row r="164"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row>
    <row r="165"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row>
    <row r="166"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row>
    <row r="167"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row>
    <row r="16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row>
    <row r="16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row>
    <row r="170"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row>
    <row r="171"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row>
    <row r="172"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row>
    <row r="173"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row>
    <row r="174"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row>
    <row r="175"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row>
    <row r="176"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row>
    <row r="177"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row>
    <row r="17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row>
    <row r="17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row>
    <row r="180"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row>
    <row r="181"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row>
    <row r="182"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row>
    <row r="183"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row>
    <row r="184"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row>
    <row r="185"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row>
    <row r="186"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row>
    <row r="187"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row>
    <row r="18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row>
    <row r="18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row>
    <row r="190"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row>
    <row r="191"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row>
    <row r="192"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row>
    <row r="193"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row>
    <row r="194"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row>
    <row r="195"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row>
    <row r="196"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row>
    <row r="197"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row>
    <row r="198"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row>
    <row r="199"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row>
    <row r="200"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row>
    <row r="201"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row>
    <row r="202"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row>
    <row r="203"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row>
    <row r="204"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row>
    <row r="205"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row>
    <row r="206"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row>
    <row r="207"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row>
    <row r="208"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row>
    <row r="209"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row>
    <row r="210"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row>
    <row r="211"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row>
    <row r="212"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row>
    <row r="213"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row>
    <row r="214"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row>
    <row r="215"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row>
    <row r="216"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row>
    <row r="217"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row>
    <row r="218"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row>
    <row r="219"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row>
    <row r="220"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row>
    <row r="221"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row>
    <row r="222"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row>
    <row r="223"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row>
    <row r="224"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row>
    <row r="225"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row>
    <row r="226"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row>
    <row r="227"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row>
    <row r="228"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row>
    <row r="229"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row>
    <row r="230"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row>
    <row r="231"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row>
    <row r="232"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row>
    <row r="233"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row>
    <row r="234"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row>
    <row r="235"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row>
    <row r="236"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row>
    <row r="237"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row>
    <row r="238"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row>
    <row r="239"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row>
    <row r="240"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row>
    <row r="241"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row>
    <row r="242"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row>
    <row r="243"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row>
    <row r="244"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row>
    <row r="245"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row>
    <row r="246"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row>
    <row r="247"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row>
    <row r="248"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row>
    <row r="249"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row>
    <row r="250"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row>
    <row r="251"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row>
    <row r="252"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row>
    <row r="253"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row>
    <row r="254"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row>
    <row r="255"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row>
    <row r="256"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row>
    <row r="257"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row>
    <row r="258"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row>
    <row r="259"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row>
    <row r="260"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row>
    <row r="261"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row>
    <row r="262"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row>
    <row r="263"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row>
    <row r="264"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row>
    <row r="265"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row>
    <row r="266"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row>
    <row r="267"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row>
    <row r="268"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row>
    <row r="269"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row>
    <row r="270"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row>
    <row r="271"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row>
    <row r="272"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row>
    <row r="273"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row>
    <row r="274"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row>
    <row r="275"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row>
    <row r="276"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row>
    <row r="277"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row>
    <row r="278"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row>
    <row r="279"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row>
    <row r="280"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row>
    <row r="281"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row>
    <row r="282"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row>
    <row r="283"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row>
    <row r="284"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row>
    <row r="285"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row>
    <row r="286"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row>
    <row r="287"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row>
    <row r="288"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row>
    <row r="289"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row>
    <row r="290"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row>
    <row r="291"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row>
    <row r="292"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row>
    <row r="293"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row>
    <row r="294"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row>
    <row r="295"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row>
    <row r="296"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row>
    <row r="297"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row>
    <row r="298"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row>
    <row r="299"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row>
    <row r="300"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row>
    <row r="301"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row>
    <row r="302"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row>
    <row r="303"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row>
    <row r="304"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row>
    <row r="305"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row>
    <row r="306"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row>
    <row r="307"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row>
    <row r="308"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row>
    <row r="309"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row>
    <row r="310"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row>
    <row r="311"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row>
    <row r="312"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row>
    <row r="313"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row>
    <row r="314"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row>
    <row r="315"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row>
    <row r="316"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row>
    <row r="317"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row>
    <row r="318"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row>
    <row r="319"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row>
    <row r="320"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row>
    <row r="321"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row>
    <row r="322"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row>
    <row r="323"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row>
    <row r="324"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row>
    <row r="325"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row>
    <row r="326"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row>
    <row r="327"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row>
    <row r="328"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row>
    <row r="329"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row>
    <row r="330"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row>
    <row r="331"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row>
    <row r="332"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row>
    <row r="333"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row>
    <row r="334"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row>
    <row r="335"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row>
    <row r="336"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row>
    <row r="337"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row>
    <row r="338"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row>
    <row r="339"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row>
    <row r="340"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row>
    <row r="341"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row>
    <row r="342"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row>
    <row r="343"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row>
    <row r="344"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row>
    <row r="345"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row>
    <row r="346"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row>
    <row r="347"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row>
    <row r="348"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row>
    <row r="349"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row>
    <row r="350"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row>
    <row r="351"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row>
    <row r="352"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row>
    <row r="353"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row>
    <row r="354"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row>
    <row r="355"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row>
    <row r="356"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row>
    <row r="357"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row>
    <row r="358"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row>
    <row r="359"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row>
    <row r="360"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row>
    <row r="361"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row>
    <row r="362"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row>
    <row r="363"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row>
    <row r="364"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row>
    <row r="365"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row>
    <row r="366"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row>
    <row r="367"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row>
    <row r="368"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row>
    <row r="369"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row>
    <row r="370"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row>
    <row r="371"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row>
    <row r="372"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row>
    <row r="373"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row>
    <row r="374"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row>
    <row r="375"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row>
    <row r="376"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row>
    <row r="377"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row>
    <row r="378"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row>
    <row r="379"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row>
    <row r="380"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row>
    <row r="381"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row>
    <row r="382"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row>
    <row r="383"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row>
    <row r="384"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row>
    <row r="385"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row>
    <row r="386"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row>
    <row r="387"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row>
    <row r="388"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row>
    <row r="389"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row>
    <row r="390"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row>
    <row r="391"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row>
    <row r="392"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row>
    <row r="393"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row>
    <row r="394"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row>
    <row r="395"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row>
    <row r="396"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row>
    <row r="397"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row>
    <row r="398"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row>
    <row r="399"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row>
    <row r="400"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row>
    <row r="401"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row>
    <row r="402"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row>
    <row r="403"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row>
    <row r="404"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row>
    <row r="405"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row>
    <row r="406"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row>
    <row r="407"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row>
    <row r="408"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row>
    <row r="409"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row>
    <row r="410"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row>
    <row r="411"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row>
    <row r="412"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row>
    <row r="413"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row>
    <row r="414"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row>
    <row r="415"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row>
    <row r="416"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row>
    <row r="417"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row>
    <row r="418"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row>
    <row r="419"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row>
    <row r="420"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row>
    <row r="421"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row>
    <row r="422"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row>
    <row r="423"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row>
    <row r="424"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row>
    <row r="425"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row>
    <row r="426"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row>
    <row r="427"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row>
    <row r="428"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row>
    <row r="429"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row>
    <row r="430"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row>
    <row r="431"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row>
    <row r="432"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row>
    <row r="433"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row>
    <row r="434"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row>
    <row r="435"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row>
    <row r="436"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row>
    <row r="437"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row>
    <row r="438"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row>
    <row r="439"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row>
    <row r="440"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row>
    <row r="441"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row>
    <row r="442"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row>
    <row r="443"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row>
    <row r="444"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row>
    <row r="445"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row>
    <row r="446"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row>
    <row r="447"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row>
    <row r="448"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row>
    <row r="449"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row>
    <row r="450"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row>
    <row r="451"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row>
    <row r="452"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row>
    <row r="453"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row>
    <row r="454"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row>
    <row r="455"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row>
    <row r="456"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row>
    <row r="457"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row>
    <row r="458"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row>
    <row r="459"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row>
    <row r="460"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row>
    <row r="461"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row>
    <row r="462"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row>
    <row r="463"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row>
    <row r="464"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row>
    <row r="465"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row>
    <row r="466"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row>
    <row r="467"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row>
    <row r="468"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row>
    <row r="469"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row>
    <row r="470"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row>
    <row r="471"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row>
    <row r="472"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row>
    <row r="473"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row>
    <row r="474"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row>
    <row r="475"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row>
    <row r="476"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row>
    <row r="477"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row>
    <row r="478"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row>
    <row r="479"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row>
    <row r="480"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row>
    <row r="481"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row>
    <row r="482"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row>
    <row r="483"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row>
    <row r="484"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row>
    <row r="485"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row>
    <row r="486"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row>
    <row r="487"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row>
    <row r="488"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row>
    <row r="489"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row>
    <row r="490"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row>
    <row r="491"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row>
    <row r="492"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row>
    <row r="493"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row>
    <row r="494"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row>
    <row r="495"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row>
    <row r="496"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row>
    <row r="497"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row>
    <row r="498"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row>
    <row r="499"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row>
    <row r="500"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row>
    <row r="501"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row>
    <row r="502"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row>
    <row r="503"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row>
    <row r="504"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row>
    <row r="505"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row>
    <row r="506"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row>
    <row r="507"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row>
    <row r="508"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row>
    <row r="509"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row>
    <row r="510"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row>
    <row r="511"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row>
    <row r="512"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row>
    <row r="513"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row>
    <row r="514"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row>
    <row r="515"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row>
    <row r="516"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row>
    <row r="517"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row>
    <row r="518"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row>
    <row r="519"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row>
    <row r="520"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row>
    <row r="521"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row>
    <row r="522"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row>
    <row r="523"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row>
    <row r="524"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row>
    <row r="525"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row>
    <row r="526"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row>
    <row r="527"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row>
    <row r="528"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row>
    <row r="529"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row>
    <row r="530"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row>
    <row r="531"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row>
    <row r="532"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row>
    <row r="533"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row>
    <row r="534"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row>
    <row r="535"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row>
    <row r="536"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row>
    <row r="537"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row>
    <row r="538"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row>
    <row r="539"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row>
    <row r="540"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row>
    <row r="541"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row>
    <row r="542"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row>
    <row r="543"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row>
    <row r="544"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row>
    <row r="545"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row>
    <row r="546"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row>
    <row r="547"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row>
    <row r="548"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row>
    <row r="549"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row>
    <row r="550"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row>
    <row r="551"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row>
    <row r="552"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row>
    <row r="553"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row>
    <row r="554"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row>
    <row r="555"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row>
    <row r="556"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row>
    <row r="557"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row>
    <row r="558"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row>
    <row r="559"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row>
    <row r="560"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row>
    <row r="561"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row>
    <row r="562"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row>
    <row r="563"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row>
    <row r="564"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row>
    <row r="565"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row>
    <row r="566"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row>
    <row r="567"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row>
    <row r="568"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row>
    <row r="569"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row>
    <row r="570"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row>
    <row r="571"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row>
    <row r="572"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row>
    <row r="573"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row>
    <row r="574"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row>
    <row r="575"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row>
    <row r="576"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row>
    <row r="577"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row>
    <row r="578"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row>
    <row r="579"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row>
    <row r="580"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row>
    <row r="581"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row>
    <row r="582"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row>
    <row r="583"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row>
    <row r="584"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row>
    <row r="585"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row>
    <row r="586"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row>
    <row r="587"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row>
    <row r="588"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row>
    <row r="589"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row>
    <row r="590"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row>
    <row r="591"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row>
    <row r="592"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row>
    <row r="593"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row>
    <row r="594"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row>
    <row r="595"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row>
    <row r="596"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row>
    <row r="597"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row>
    <row r="598"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row>
    <row r="599"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row>
    <row r="600"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row>
    <row r="601"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row>
    <row r="602"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row>
    <row r="603"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row>
    <row r="604"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row>
    <row r="605"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row>
    <row r="606"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row>
    <row r="607"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row>
    <row r="608"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row>
    <row r="609"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row>
    <row r="610"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row>
    <row r="611"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row>
    <row r="612"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row>
    <row r="613"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row>
    <row r="614"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row>
    <row r="615"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row>
    <row r="616"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row>
    <row r="617"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row>
    <row r="618"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row>
    <row r="619"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row>
    <row r="620"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row>
    <row r="621"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row>
    <row r="622"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row>
    <row r="623"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row>
    <row r="624"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row>
    <row r="625"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row>
    <row r="626"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row>
    <row r="627"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row>
    <row r="628"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row>
    <row r="629"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row>
    <row r="630"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row>
    <row r="631"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row>
    <row r="632"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row>
    <row r="633"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row>
    <row r="634"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row>
    <row r="635"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row>
    <row r="636"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row>
    <row r="637"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row>
    <row r="638"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row>
    <row r="639"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row>
    <row r="640"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row>
    <row r="641"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row>
    <row r="642"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row>
    <row r="643"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row>
    <row r="644"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row>
    <row r="645"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row>
    <row r="646"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row>
    <row r="647"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row>
    <row r="648"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row>
    <row r="649"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row>
    <row r="650"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row>
    <row r="651"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row>
    <row r="652"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row>
    <row r="653"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row>
    <row r="654"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row>
    <row r="655"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row>
    <row r="656"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row>
    <row r="657"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row>
    <row r="658"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row>
    <row r="659"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row>
    <row r="660"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row>
    <row r="661"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row>
    <row r="662"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row>
    <row r="663"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row>
    <row r="664"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row>
    <row r="665"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row>
    <row r="666"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row>
    <row r="667"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row>
    <row r="668"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row>
    <row r="669"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row>
    <row r="670"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row>
    <row r="671"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row>
    <row r="672"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row>
    <row r="673"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row>
    <row r="674"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row>
    <row r="675"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row>
    <row r="676"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row>
    <row r="677"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row>
    <row r="678"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row>
    <row r="679"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row>
    <row r="680"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row>
    <row r="681"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row>
    <row r="682"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row>
    <row r="683"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row>
    <row r="684"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row>
    <row r="685"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row>
    <row r="686"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row>
    <row r="687"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row>
    <row r="688"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row>
    <row r="689"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row>
    <row r="690"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row>
    <row r="691"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row>
    <row r="692"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row>
    <row r="693"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row>
    <row r="694"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row>
    <row r="695"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row>
    <row r="696"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row>
    <row r="697"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row>
    <row r="698"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row>
    <row r="699"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row>
    <row r="700"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row>
    <row r="701"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row>
    <row r="702"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row>
    <row r="703"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row>
    <row r="704"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row>
    <row r="705"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row>
    <row r="706"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row>
    <row r="707"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row>
    <row r="708"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row>
    <row r="709"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row>
    <row r="710"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row>
    <row r="711"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row>
    <row r="712"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row>
    <row r="713"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row>
    <row r="714"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row>
    <row r="715"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row>
    <row r="716"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row>
    <row r="717"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row>
    <row r="718"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row>
    <row r="719"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row>
    <row r="720"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row>
    <row r="721"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row>
    <row r="722"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row>
    <row r="723"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row>
    <row r="724"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row>
    <row r="725"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row>
    <row r="726"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row>
    <row r="727"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row>
    <row r="728"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row>
    <row r="729"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row>
    <row r="730"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row>
    <row r="731"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row>
    <row r="732"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row>
    <row r="733"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row>
    <row r="734"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row>
    <row r="735"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row>
    <row r="736"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row>
    <row r="737"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row>
    <row r="738"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row>
    <row r="739"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row>
    <row r="740"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row>
    <row r="741"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row>
    <row r="742"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row>
    <row r="743"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row>
    <row r="744"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row>
    <row r="745"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row>
    <row r="746"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row>
    <row r="747"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row>
    <row r="748"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row>
    <row r="749"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row>
    <row r="750"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row>
    <row r="751"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row>
    <row r="752"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row>
    <row r="753"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row>
    <row r="754"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row>
    <row r="755"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row>
    <row r="756"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row>
    <row r="757"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row>
    <row r="758"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row>
    <row r="759"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row>
    <row r="760"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row>
    <row r="761"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row>
    <row r="762"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row>
    <row r="763"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row>
    <row r="764"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row>
    <row r="765"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row>
    <row r="766"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row>
    <row r="767"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row>
    <row r="768"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row>
    <row r="769"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row>
    <row r="770"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row>
    <row r="771"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row>
    <row r="772"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row>
    <row r="773"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row>
    <row r="774"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row>
    <row r="775"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row>
    <row r="776"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row>
    <row r="777"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row>
    <row r="778"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row>
    <row r="779"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row>
    <row r="780"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row>
    <row r="781"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row>
    <row r="782"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row>
    <row r="783"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row>
    <row r="784"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row>
    <row r="785"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row>
    <row r="786"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row>
    <row r="787"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row>
    <row r="788"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row>
    <row r="789"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row>
    <row r="790"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row>
    <row r="791"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row>
    <row r="792"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row>
    <row r="793"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row>
    <row r="794"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row>
    <row r="795"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row>
    <row r="796"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row>
    <row r="797"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row>
    <row r="798"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row>
    <row r="799"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row>
    <row r="800"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row>
    <row r="801"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row>
    <row r="802"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row>
    <row r="803"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row>
    <row r="804"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row>
    <row r="805"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row>
    <row r="806"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row>
    <row r="807"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row>
    <row r="808"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row>
    <row r="809"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row>
    <row r="810"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row>
    <row r="811"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row>
    <row r="812"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row>
    <row r="813"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row>
    <row r="814"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row>
    <row r="815"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row>
    <row r="816"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row>
    <row r="817"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row>
    <row r="818"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row>
    <row r="819"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row>
    <row r="820"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row>
    <row r="821"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row>
    <row r="822"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row>
    <row r="823"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row>
    <row r="824"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row>
    <row r="825"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row>
    <row r="826"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row>
    <row r="827"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row>
    <row r="828"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row>
    <row r="829"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row>
    <row r="830"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row>
    <row r="831"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row>
    <row r="832"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row>
    <row r="833"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row>
    <row r="834"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row>
    <row r="835"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row>
    <row r="836"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row>
    <row r="837"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row>
    <row r="838"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row>
    <row r="839"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row>
    <row r="840"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row>
    <row r="841"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row>
    <row r="842"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row>
    <row r="843"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row>
    <row r="844"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row>
    <row r="845"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row>
    <row r="846"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row>
    <row r="847"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row>
    <row r="848"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row>
    <row r="849"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row>
    <row r="850"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row>
    <row r="851"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row>
    <row r="852"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row>
    <row r="853"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row>
    <row r="854"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row>
    <row r="855"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row>
    <row r="856"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row>
    <row r="857"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row>
    <row r="858"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row>
    <row r="859"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row>
    <row r="860"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row>
    <row r="861"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row>
    <row r="862"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row>
    <row r="863"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row>
    <row r="864"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row>
    <row r="865"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row>
    <row r="866"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row>
    <row r="867"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row>
    <row r="868"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row>
    <row r="869"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row>
    <row r="870"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row>
    <row r="871"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row>
    <row r="872"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row>
    <row r="873"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row>
    <row r="874"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row>
    <row r="875"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row>
    <row r="876"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row>
    <row r="877"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row>
    <row r="878"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row>
    <row r="879"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row>
    <row r="880"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row>
    <row r="881"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row>
    <row r="882"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row>
    <row r="883"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row>
    <row r="884"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row>
    <row r="885"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row>
    <row r="886"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row>
    <row r="887"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row>
    <row r="888"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row>
    <row r="889"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row>
    <row r="890"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row>
    <row r="891"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row>
    <row r="892"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row>
    <row r="893"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row>
    <row r="894"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row>
    <row r="895"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row>
    <row r="896"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row>
    <row r="897"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row>
    <row r="898"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row>
    <row r="899"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row>
    <row r="900"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row>
    <row r="901"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row>
    <row r="902"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row>
    <row r="903"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row>
    <row r="904"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row>
    <row r="905"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row>
    <row r="906"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row>
    <row r="907"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row>
    <row r="908"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row>
    <row r="909"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row>
    <row r="910"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row>
    <row r="911"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row>
    <row r="912"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row>
    <row r="913"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row>
    <row r="914"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row>
    <row r="915"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row>
    <row r="916"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row>
    <row r="917"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row>
    <row r="918"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row>
    <row r="919"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row>
    <row r="920"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row>
    <row r="921"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row>
    <row r="922"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row>
    <row r="923"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row>
    <row r="924"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row>
    <row r="925"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row>
    <row r="926"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row>
    <row r="927"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row>
    <row r="928"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row>
    <row r="929"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row>
    <row r="930"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row>
    <row r="931"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row>
    <row r="932"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row>
    <row r="933"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row>
    <row r="934"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row>
    <row r="935"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row>
    <row r="936"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row>
    <row r="937"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row>
    <row r="938"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row>
    <row r="939"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row>
    <row r="940"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row>
    <row r="941"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row>
    <row r="942"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row>
    <row r="943"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row>
    <row r="944"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row>
    <row r="945"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row>
    <row r="946"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row>
    <row r="947"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row>
    <row r="948"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row>
    <row r="949"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row>
    <row r="950"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row>
    <row r="951"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row>
    <row r="952"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row>
    <row r="953"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row>
    <row r="954"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row>
    <row r="955"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row>
    <row r="956"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row>
    <row r="957"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row>
    <row r="958"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row>
    <row r="959"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row>
    <row r="960"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row>
    <row r="961"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row>
    <row r="962"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row>
    <row r="963"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row>
    <row r="964"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row>
    <row r="965"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row>
    <row r="966" ht="15.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row>
    <row r="967" ht="15.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row>
    <row r="968" ht="15.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row>
    <row r="969" ht="15.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row>
    <row r="970" ht="15.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row>
    <row r="971" ht="15.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row>
    <row r="972" ht="15.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row>
    <row r="973" ht="15.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row>
    <row r="974" ht="15.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row>
    <row r="975" ht="15.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row>
    <row r="976" ht="15.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row>
    <row r="977" ht="15.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row>
    <row r="978" ht="15.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row>
    <row r="979" ht="15.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row>
    <row r="980" ht="15.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row>
    <row r="981" ht="15.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row>
    <row r="982" ht="15.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row>
    <row r="983" ht="15.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row>
    <row r="984" ht="15.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row>
    <row r="985" ht="15.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row>
  </sheetData>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workbookViewId="0"/>
  </sheetViews>
  <sheetFormatPr customHeight="1" defaultColWidth="12.63" defaultRowHeight="15.0"/>
  <cols>
    <col customWidth="1" min="1" max="36" width="11.13"/>
  </cols>
  <sheetData>
    <row r="1" ht="15.75" customHeight="1">
      <c r="A1" s="142" t="s">
        <v>138</v>
      </c>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row>
    <row r="2" ht="15.75" customHeight="1">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row>
    <row r="3" ht="15.75" customHeight="1">
      <c r="A3" s="103" t="s">
        <v>126</v>
      </c>
      <c r="B3" s="103">
        <v>2005.0</v>
      </c>
      <c r="C3" s="103">
        <v>2006.0</v>
      </c>
      <c r="D3" s="103">
        <v>2007.0</v>
      </c>
      <c r="E3" s="103">
        <v>2008.0</v>
      </c>
      <c r="F3" s="103">
        <v>2009.0</v>
      </c>
      <c r="G3" s="103">
        <v>2010.0</v>
      </c>
      <c r="H3" s="103">
        <v>2011.0</v>
      </c>
      <c r="I3" s="103">
        <v>2012.0</v>
      </c>
      <c r="J3" s="103">
        <v>2013.0</v>
      </c>
      <c r="K3" s="103">
        <v>2014.0</v>
      </c>
      <c r="L3" s="103">
        <v>2015.0</v>
      </c>
      <c r="M3" s="103">
        <v>2016.0</v>
      </c>
      <c r="N3" s="103">
        <v>2017.0</v>
      </c>
      <c r="O3" s="103">
        <v>2018.0</v>
      </c>
      <c r="P3" s="103">
        <v>2019.0</v>
      </c>
      <c r="Q3" s="103">
        <v>2020.0</v>
      </c>
      <c r="R3" s="103">
        <v>2021.0</v>
      </c>
      <c r="S3" s="103">
        <v>2022.0</v>
      </c>
      <c r="T3" s="103">
        <v>2023.0</v>
      </c>
      <c r="U3" s="103">
        <v>2024.0</v>
      </c>
      <c r="V3" s="103">
        <v>2025.0</v>
      </c>
      <c r="W3" s="24"/>
      <c r="X3" s="24"/>
      <c r="Y3" s="24"/>
      <c r="Z3" s="24"/>
      <c r="AA3" s="24"/>
      <c r="AB3" s="24"/>
      <c r="AC3" s="24"/>
      <c r="AD3" s="24"/>
      <c r="AE3" s="24"/>
      <c r="AF3" s="24"/>
      <c r="AG3" s="24"/>
      <c r="AH3" s="24"/>
      <c r="AI3" s="24"/>
      <c r="AJ3" s="50"/>
    </row>
    <row r="4" ht="15.75" customHeight="1">
      <c r="A4" s="103" t="s">
        <v>42</v>
      </c>
      <c r="B4" s="108">
        <v>138.0</v>
      </c>
      <c r="C4" s="108">
        <v>140.3</v>
      </c>
      <c r="D4" s="108">
        <v>142.1</v>
      </c>
      <c r="E4" s="108">
        <v>143.1</v>
      </c>
      <c r="F4" s="108">
        <v>143.7</v>
      </c>
      <c r="G4" s="108">
        <v>144.4</v>
      </c>
      <c r="H4" s="108">
        <v>145.2</v>
      </c>
      <c r="I4" s="108">
        <v>148.4</v>
      </c>
      <c r="J4" s="108">
        <v>151.1</v>
      </c>
      <c r="K4" s="108">
        <v>154.6</v>
      </c>
      <c r="L4" s="108">
        <v>158.3</v>
      </c>
      <c r="M4" s="108">
        <v>162.0</v>
      </c>
      <c r="N4" s="108">
        <v>165.9</v>
      </c>
      <c r="O4" s="108">
        <v>169.5</v>
      </c>
      <c r="P4" s="108">
        <v>174.0</v>
      </c>
      <c r="Q4" s="108">
        <v>179.4</v>
      </c>
      <c r="R4" s="108">
        <v>182.6</v>
      </c>
      <c r="S4" s="108">
        <v>187.6</v>
      </c>
      <c r="T4" s="108">
        <v>193.1</v>
      </c>
      <c r="U4" s="108">
        <v>199.8</v>
      </c>
      <c r="V4" s="108">
        <v>207.6</v>
      </c>
      <c r="W4" s="24"/>
      <c r="X4" s="24"/>
      <c r="Y4" s="24"/>
      <c r="Z4" s="24"/>
      <c r="AA4" s="24"/>
      <c r="AB4" s="24"/>
      <c r="AC4" s="24"/>
      <c r="AD4" s="24"/>
      <c r="AE4" s="24"/>
      <c r="AF4" s="24"/>
      <c r="AG4" s="24"/>
      <c r="AH4" s="24"/>
      <c r="AI4" s="24"/>
      <c r="AJ4" s="50"/>
    </row>
    <row r="5" ht="15.75" customHeight="1">
      <c r="A5" s="25" t="s">
        <v>43</v>
      </c>
      <c r="B5" s="108">
        <v>141.9</v>
      </c>
      <c r="C5" s="108">
        <v>143.3</v>
      </c>
      <c r="D5" s="108">
        <v>143.9</v>
      </c>
      <c r="E5" s="108">
        <v>144.1</v>
      </c>
      <c r="F5" s="108">
        <v>143.4</v>
      </c>
      <c r="G5" s="108">
        <v>143.1</v>
      </c>
      <c r="H5" s="108">
        <v>142.6</v>
      </c>
      <c r="I5" s="108">
        <v>145.4</v>
      </c>
      <c r="J5" s="108">
        <v>147.2</v>
      </c>
      <c r="K5" s="108">
        <v>150.1</v>
      </c>
      <c r="L5" s="108">
        <v>153.4</v>
      </c>
      <c r="M5" s="108">
        <v>156.6</v>
      </c>
      <c r="N5" s="108">
        <v>160.0</v>
      </c>
      <c r="O5" s="108">
        <v>163.1</v>
      </c>
      <c r="P5" s="108">
        <v>166.6</v>
      </c>
      <c r="Q5" s="108">
        <v>170.9</v>
      </c>
      <c r="R5" s="108">
        <v>172.3</v>
      </c>
      <c r="S5" s="108">
        <v>177.1</v>
      </c>
      <c r="T5" s="108">
        <v>182.0</v>
      </c>
      <c r="U5" s="108">
        <v>188.1</v>
      </c>
      <c r="V5" s="108">
        <v>195.5</v>
      </c>
      <c r="W5" s="24"/>
      <c r="X5" s="24"/>
      <c r="Y5" s="24"/>
      <c r="Z5" s="24"/>
      <c r="AA5" s="24"/>
      <c r="AB5" s="24"/>
      <c r="AC5" s="24"/>
      <c r="AD5" s="24"/>
      <c r="AE5" s="24"/>
      <c r="AF5" s="24"/>
      <c r="AG5" s="24"/>
      <c r="AH5" s="24"/>
      <c r="AI5" s="24"/>
      <c r="AJ5" s="50"/>
    </row>
    <row r="6" ht="15.75" customHeight="1">
      <c r="A6" s="25" t="s">
        <v>44</v>
      </c>
      <c r="B6" s="108">
        <v>121.4</v>
      </c>
      <c r="C6" s="108">
        <v>122.7</v>
      </c>
      <c r="D6" s="108">
        <v>123.1</v>
      </c>
      <c r="E6" s="108">
        <v>123.4</v>
      </c>
      <c r="F6" s="108">
        <v>122.9</v>
      </c>
      <c r="G6" s="108">
        <v>122.6</v>
      </c>
      <c r="H6" s="108">
        <v>121.8</v>
      </c>
      <c r="I6" s="108">
        <v>124.6</v>
      </c>
      <c r="J6" s="108">
        <v>127.2</v>
      </c>
      <c r="K6" s="108">
        <v>131.0</v>
      </c>
      <c r="L6" s="108">
        <v>135.2</v>
      </c>
      <c r="M6" s="108">
        <v>139.4</v>
      </c>
      <c r="N6" s="108">
        <v>144.0</v>
      </c>
      <c r="O6" s="108">
        <v>148.0</v>
      </c>
      <c r="P6" s="108">
        <v>152.2</v>
      </c>
      <c r="Q6" s="108">
        <v>157.1</v>
      </c>
      <c r="R6" s="108">
        <v>159.3</v>
      </c>
      <c r="S6" s="108">
        <v>164.1</v>
      </c>
      <c r="T6" s="108">
        <v>170.0</v>
      </c>
      <c r="U6" s="108">
        <v>176.6</v>
      </c>
      <c r="V6" s="108">
        <v>184.3</v>
      </c>
      <c r="W6" s="24"/>
      <c r="X6" s="24"/>
      <c r="Y6" s="24"/>
      <c r="Z6" s="24"/>
      <c r="AA6" s="24"/>
      <c r="AB6" s="24"/>
      <c r="AC6" s="24"/>
      <c r="AD6" s="24"/>
      <c r="AE6" s="24"/>
      <c r="AF6" s="24"/>
      <c r="AG6" s="24"/>
      <c r="AH6" s="24"/>
      <c r="AI6" s="24"/>
      <c r="AJ6" s="50"/>
    </row>
    <row r="7" ht="15.75" customHeight="1">
      <c r="A7" s="24" t="s">
        <v>45</v>
      </c>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row>
    <row r="8" ht="15.75" customHeight="1">
      <c r="A8" s="24" t="s">
        <v>139</v>
      </c>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row>
    <row r="9" ht="15.75" customHeight="1">
      <c r="A9" s="50"/>
      <c r="B9" s="50"/>
      <c r="C9" s="50"/>
      <c r="D9" s="50"/>
      <c r="E9" s="50"/>
      <c r="F9" s="50"/>
      <c r="G9" s="50"/>
      <c r="H9" s="50"/>
      <c r="I9" s="50"/>
      <c r="J9" s="50"/>
      <c r="K9" s="50"/>
      <c r="L9" s="50"/>
      <c r="M9" s="24"/>
      <c r="N9" s="24"/>
      <c r="O9" s="24"/>
      <c r="P9" s="24"/>
      <c r="Q9" s="24"/>
      <c r="R9" s="24"/>
      <c r="S9" s="24"/>
      <c r="T9" s="24"/>
      <c r="U9" s="24"/>
      <c r="V9" s="24"/>
      <c r="W9" s="24"/>
      <c r="X9" s="24"/>
      <c r="Y9" s="24"/>
      <c r="Z9" s="24"/>
      <c r="AA9" s="24"/>
      <c r="AB9" s="24"/>
      <c r="AC9" s="24"/>
      <c r="AD9" s="24"/>
      <c r="AE9" s="24"/>
      <c r="AF9" s="24"/>
      <c r="AG9" s="24"/>
      <c r="AH9" s="24"/>
      <c r="AI9" s="24"/>
      <c r="AJ9" s="50"/>
    </row>
    <row r="10" ht="15.75" customHeight="1">
      <c r="A10" s="50"/>
      <c r="B10" s="50"/>
      <c r="C10" s="50"/>
      <c r="D10" s="50"/>
      <c r="E10" s="50"/>
      <c r="F10" s="50"/>
      <c r="G10" s="50"/>
      <c r="H10" s="50"/>
      <c r="I10" s="50"/>
      <c r="J10" s="50"/>
      <c r="K10" s="50"/>
      <c r="L10" s="50"/>
      <c r="M10" s="24"/>
      <c r="N10" s="24"/>
      <c r="O10" s="24"/>
      <c r="P10" s="24"/>
      <c r="Q10" s="24"/>
      <c r="R10" s="24"/>
      <c r="S10" s="24"/>
      <c r="T10" s="24"/>
      <c r="U10" s="24"/>
      <c r="V10" s="24"/>
      <c r="W10" s="24"/>
      <c r="X10" s="24"/>
      <c r="Y10" s="24"/>
      <c r="Z10" s="24"/>
      <c r="AA10" s="24"/>
      <c r="AB10" s="24"/>
      <c r="AC10" s="24"/>
      <c r="AD10" s="24"/>
      <c r="AE10" s="24"/>
      <c r="AF10" s="24"/>
      <c r="AG10" s="24"/>
      <c r="AH10" s="24"/>
      <c r="AI10" s="24"/>
      <c r="AJ10" s="50"/>
    </row>
    <row r="11" ht="15.75" customHeight="1">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50"/>
    </row>
    <row r="12" ht="15.75" customHeight="1">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50"/>
    </row>
    <row r="13" ht="15.75" customHeight="1">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50"/>
    </row>
    <row r="14" ht="15.75" customHeight="1">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row>
    <row r="15" ht="15.75" customHeight="1">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row>
    <row r="16" ht="15.75" customHeight="1">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row>
    <row r="17" ht="15.75" customHeight="1">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row>
    <row r="18" ht="15.75" customHeight="1">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row>
    <row r="19" ht="15.75" customHeight="1">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row>
    <row r="20" ht="15.75" customHeight="1">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row>
    <row r="21" ht="15.75" customHeight="1">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row>
    <row r="22" ht="15.7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row>
    <row r="23" ht="15.7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row>
    <row r="24" ht="15.75" customHeight="1">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row>
    <row r="25"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row>
    <row r="26"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row>
    <row r="27"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row>
    <row r="28"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row>
    <row r="29"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row>
    <row r="30"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row>
    <row r="31"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row>
    <row r="32"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row>
    <row r="33"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row>
    <row r="34"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row>
    <row r="35"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row>
    <row r="36"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row>
    <row r="37"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row>
    <row r="38"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row>
    <row r="3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row>
    <row r="40"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row>
    <row r="41"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row>
    <row r="42"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row>
    <row r="43"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row>
    <row r="44"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row>
    <row r="45"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row>
    <row r="46"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row>
    <row r="47"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row>
    <row r="4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row>
    <row r="4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row>
    <row r="50"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row>
    <row r="51"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row>
    <row r="52"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row>
    <row r="53"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row>
    <row r="54"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row>
    <row r="55"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row>
    <row r="56"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row>
    <row r="57"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row>
    <row r="5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row>
    <row r="5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row>
    <row r="60"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row>
    <row r="61"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row>
    <row r="62"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row>
    <row r="63"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row>
    <row r="64"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row>
    <row r="65"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row>
    <row r="66"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row>
    <row r="67"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row>
    <row r="6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row>
    <row r="6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row>
    <row r="70"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row>
    <row r="71"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row>
    <row r="72"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row>
    <row r="73"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row>
    <row r="74"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row>
    <row r="75"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row>
    <row r="76"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row>
    <row r="77"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row>
    <row r="7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row>
    <row r="7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row>
    <row r="80"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row>
    <row r="81"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row>
    <row r="82"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row>
    <row r="83"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row>
    <row r="84"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row>
    <row r="85"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row>
    <row r="86"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row>
    <row r="87"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row>
    <row r="8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row>
    <row r="8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row>
    <row r="90"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row>
    <row r="91"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row>
    <row r="92"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row>
    <row r="93"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row>
    <row r="94"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row>
    <row r="95"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row>
    <row r="96"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row>
    <row r="97"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row>
    <row r="9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row>
    <row r="9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row>
    <row r="100"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row>
    <row r="101"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row>
    <row r="102"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row>
    <row r="103"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row>
    <row r="104"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row>
    <row r="105"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row>
    <row r="106"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row>
    <row r="107"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row>
    <row r="10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row>
    <row r="10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row>
    <row r="110"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row>
    <row r="111"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row>
    <row r="112"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row>
    <row r="113"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row>
    <row r="114"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row>
    <row r="115"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row>
    <row r="116"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row>
    <row r="117"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row>
    <row r="11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row>
    <row r="11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row>
    <row r="120"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row>
    <row r="121"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row>
    <row r="122"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row>
    <row r="123"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row>
    <row r="124"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row>
    <row r="125"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row>
    <row r="126"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row>
    <row r="127"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row>
    <row r="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row>
    <row r="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row>
    <row r="130"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row>
    <row r="131"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row>
    <row r="132"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row>
    <row r="133"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row>
    <row r="134"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row>
    <row r="135"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row>
    <row r="136"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row>
    <row r="137"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row>
    <row r="13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row>
    <row r="13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row>
    <row r="140"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row>
    <row r="141"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row>
    <row r="142"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row>
    <row r="143"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row>
    <row r="144"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row>
    <row r="145"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row>
    <row r="146"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row>
    <row r="147"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row>
    <row r="14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row>
    <row r="14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row>
    <row r="150"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row>
    <row r="151"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row>
    <row r="152"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row>
    <row r="153"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row>
    <row r="154"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row>
    <row r="155"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row>
    <row r="156"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row>
    <row r="157"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row>
    <row r="15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row>
    <row r="15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row>
    <row r="160"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row>
    <row r="161"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row>
    <row r="162"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row>
    <row r="163"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row>
    <row r="164"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row>
    <row r="165"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row>
    <row r="166"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row>
    <row r="167"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row>
    <row r="16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row>
    <row r="16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row>
    <row r="170"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row>
    <row r="171"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row>
    <row r="172"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row>
    <row r="173"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row>
    <row r="174"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row>
    <row r="175"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row>
    <row r="176"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row>
    <row r="177"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row>
    <row r="17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row>
    <row r="17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row>
    <row r="180"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row>
    <row r="181"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row>
    <row r="182"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row>
    <row r="183"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row>
    <row r="184"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row>
    <row r="185"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row>
    <row r="186"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row>
    <row r="187"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row>
    <row r="18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row>
    <row r="18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row>
    <row r="190"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row>
    <row r="191"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row>
    <row r="192"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row>
    <row r="193"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row>
    <row r="194"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row>
    <row r="195"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row>
    <row r="196"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row>
    <row r="197"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row>
    <row r="198"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row>
    <row r="199"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row>
    <row r="200"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row>
    <row r="201"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row>
    <row r="202"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row>
    <row r="203"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row>
    <row r="204"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row>
    <row r="205"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row>
    <row r="206"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row>
    <row r="207"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row>
    <row r="208"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row>
    <row r="209"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row>
    <row r="210"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row>
    <row r="211"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row>
    <row r="212"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row>
    <row r="213"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row>
    <row r="214"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row>
    <row r="215"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row>
    <row r="216"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row>
    <row r="217"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row>
    <row r="218"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row>
    <row r="219"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row>
    <row r="220"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row>
    <row r="221"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row>
    <row r="222"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row>
    <row r="223"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row>
    <row r="224"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row>
    <row r="225"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row>
    <row r="226"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row>
    <row r="227"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row>
    <row r="228"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row>
    <row r="229"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row>
    <row r="230"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row>
    <row r="231"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row>
    <row r="232"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row>
    <row r="233"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row>
    <row r="234"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row>
    <row r="235"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row>
    <row r="236"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row>
    <row r="237"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row>
    <row r="238"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row>
    <row r="239"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row>
    <row r="240"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row>
    <row r="241"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row>
    <row r="242"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row>
    <row r="243"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row>
    <row r="244"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row>
    <row r="245"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row>
    <row r="246"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row>
    <row r="247"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row>
    <row r="248"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row>
    <row r="249"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row>
    <row r="250"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row>
    <row r="251"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row>
    <row r="252"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row>
    <row r="253"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row>
    <row r="254"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row>
    <row r="255"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row>
    <row r="256"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row>
    <row r="257"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row>
    <row r="258"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row>
    <row r="259"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row>
    <row r="260"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row>
    <row r="261"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row>
    <row r="262"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row>
    <row r="263"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row>
    <row r="264"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row>
    <row r="265"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row>
    <row r="266"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row>
    <row r="267"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row>
    <row r="268"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row>
    <row r="269"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row>
    <row r="270"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row>
    <row r="271"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row>
    <row r="272"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row>
    <row r="273"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row>
    <row r="274"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row>
    <row r="275"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row>
    <row r="276"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row>
    <row r="277"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row>
    <row r="278"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row>
    <row r="279"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row>
    <row r="280"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row>
    <row r="281"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row>
    <row r="282"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row>
    <row r="283"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row>
    <row r="284"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row>
    <row r="285"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row>
    <row r="286"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row>
    <row r="287"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row>
    <row r="288"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row>
    <row r="289"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row>
    <row r="290"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row>
    <row r="291"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row>
    <row r="292"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row>
    <row r="293"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row>
    <row r="294"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row>
    <row r="295"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row>
    <row r="296"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row>
    <row r="297"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row>
    <row r="298"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row>
    <row r="299"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row>
    <row r="300"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row>
    <row r="301"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row>
    <row r="302"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row>
    <row r="303"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row>
    <row r="304"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row>
    <row r="305"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row>
    <row r="306"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row>
    <row r="307"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row>
    <row r="308"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row>
    <row r="309"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row>
    <row r="310"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row>
    <row r="311"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row>
    <row r="312"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row>
    <row r="313"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row>
    <row r="314"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row>
    <row r="315"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row>
    <row r="316"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row>
    <row r="317"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row>
    <row r="318"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row>
    <row r="319"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row>
    <row r="320"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row>
    <row r="321"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row>
    <row r="322"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row>
    <row r="323"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row>
    <row r="324"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row>
    <row r="325"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row>
    <row r="326"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row>
    <row r="327"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row>
    <row r="328"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row>
    <row r="329"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row>
    <row r="330"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row>
    <row r="331"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row>
    <row r="332"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row>
    <row r="333"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row>
    <row r="334"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row>
    <row r="335"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row>
    <row r="336"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row>
    <row r="337"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row>
    <row r="338"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row>
    <row r="339"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row>
    <row r="340"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row>
    <row r="341"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row>
    <row r="342"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row>
    <row r="343"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row>
    <row r="344"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row>
    <row r="345"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row>
    <row r="346"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row>
    <row r="347"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row>
    <row r="348"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row>
    <row r="349"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row>
    <row r="350"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row>
    <row r="351"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row>
    <row r="352"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row>
    <row r="353"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row>
    <row r="354"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row>
    <row r="355"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row>
    <row r="356"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row>
    <row r="357"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row>
    <row r="358"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row>
    <row r="359"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row>
    <row r="360"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row>
    <row r="361"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row>
    <row r="362"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row>
    <row r="363"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row>
    <row r="364"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row>
    <row r="365"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row>
    <row r="366"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row>
    <row r="367"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row>
    <row r="368"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row>
    <row r="369"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row>
    <row r="370"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row>
    <row r="371"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row>
    <row r="372"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row>
    <row r="373"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row>
    <row r="374"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row>
    <row r="375"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row>
    <row r="376"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row>
    <row r="377"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row>
    <row r="378"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row>
    <row r="379"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row>
    <row r="380"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row>
    <row r="381"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row>
    <row r="382"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row>
    <row r="383"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row>
    <row r="384"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row>
    <row r="385"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row>
    <row r="386"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row>
    <row r="387"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row>
    <row r="388"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row>
    <row r="389"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row>
    <row r="390"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row>
    <row r="391"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row>
    <row r="392"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row>
    <row r="393"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row>
    <row r="394"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row>
    <row r="395"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row>
    <row r="396"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row>
    <row r="397"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row>
    <row r="398"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row>
    <row r="399"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row>
    <row r="400"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row>
    <row r="401"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row>
    <row r="402"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row>
    <row r="403"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row>
    <row r="404"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row>
    <row r="405"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row>
    <row r="406"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row>
    <row r="407"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row>
    <row r="408"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row>
    <row r="409"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row>
    <row r="410"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row>
    <row r="411"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row>
    <row r="412"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row>
    <row r="413"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row>
    <row r="414"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row>
    <row r="415"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row>
    <row r="416"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row>
    <row r="417"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row>
    <row r="418"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row>
    <row r="419"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row>
    <row r="420"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row>
    <row r="421"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row>
    <row r="422"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row>
    <row r="423"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row>
    <row r="424"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row>
    <row r="425"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row>
    <row r="426"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row>
    <row r="427"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row>
    <row r="428"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row>
    <row r="429"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row>
    <row r="430"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row>
    <row r="431"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row>
    <row r="432"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row>
    <row r="433"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row>
    <row r="434"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row>
    <row r="435"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row>
    <row r="436"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row>
    <row r="437"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row>
    <row r="438"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row>
    <row r="439"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row>
    <row r="440"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row>
    <row r="441"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row>
    <row r="442"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row>
    <row r="443"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row>
    <row r="444"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row>
    <row r="445"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row>
    <row r="446"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row>
    <row r="447"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row>
    <row r="448"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row>
    <row r="449"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row>
    <row r="450"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row>
    <row r="451"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row>
    <row r="452"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row>
    <row r="453"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row>
    <row r="454"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row>
    <row r="455"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row>
    <row r="456"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row>
    <row r="457"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row>
    <row r="458"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row>
    <row r="459"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row>
    <row r="460"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row>
    <row r="461"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row>
    <row r="462"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row>
    <row r="463"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row>
    <row r="464"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row>
    <row r="465"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row>
    <row r="466"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row>
    <row r="467"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row>
    <row r="468"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row>
    <row r="469"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row>
    <row r="470"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row>
    <row r="471"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row>
    <row r="472"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row>
    <row r="473"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row>
    <row r="474"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row>
    <row r="475"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row>
    <row r="476"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row>
    <row r="477"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row>
    <row r="478"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row>
    <row r="479"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row>
    <row r="480"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row>
    <row r="481"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row>
    <row r="482"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row>
    <row r="483"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row>
    <row r="484"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row>
    <row r="485"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row>
    <row r="486"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row>
    <row r="487"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row>
    <row r="488"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row>
    <row r="489"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row>
    <row r="490"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row>
    <row r="491"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row>
    <row r="492"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row>
    <row r="493"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row>
    <row r="494"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row>
    <row r="495"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row>
    <row r="496"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row>
    <row r="497"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row>
    <row r="498"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row>
    <row r="499"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row>
    <row r="500"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row>
    <row r="501"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row>
    <row r="502"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row>
    <row r="503"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row>
    <row r="504"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row>
    <row r="505"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row>
    <row r="506"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row>
    <row r="507"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row>
    <row r="508"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row>
    <row r="509"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row>
    <row r="510"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row>
    <row r="511"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row>
    <row r="512"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row>
    <row r="513"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row>
    <row r="514"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row>
    <row r="515"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row>
    <row r="516"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row>
    <row r="517"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row>
    <row r="518"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row>
    <row r="519"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row>
    <row r="520"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row>
    <row r="521"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row>
    <row r="522"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row>
    <row r="523"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row>
    <row r="524"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row>
    <row r="525"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row>
    <row r="526"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row>
    <row r="527"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row>
    <row r="528"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row>
    <row r="529"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row>
    <row r="530"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row>
    <row r="531"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row>
    <row r="532"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row>
    <row r="533"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row>
    <row r="534"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row>
    <row r="535"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row>
    <row r="536"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row>
    <row r="537"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row>
    <row r="538"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row>
    <row r="539"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row>
    <row r="540"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row>
    <row r="541"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row>
    <row r="542"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row>
    <row r="543"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row>
    <row r="544"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row>
    <row r="545"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row>
    <row r="546"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row>
    <row r="547"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row>
    <row r="548"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row>
    <row r="549"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row>
    <row r="550"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row>
    <row r="551"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row>
    <row r="552"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row>
    <row r="553"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row>
    <row r="554"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row>
    <row r="555"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row>
    <row r="556"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row>
    <row r="557"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row>
    <row r="558"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row>
    <row r="559"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row>
    <row r="560"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row>
    <row r="561"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row>
    <row r="562"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row>
    <row r="563"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row>
    <row r="564"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row>
    <row r="565"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row>
    <row r="566"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row>
    <row r="567"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row>
    <row r="568"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row>
    <row r="569"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row>
    <row r="570"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row>
    <row r="571"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row>
    <row r="572"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row>
    <row r="573"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row>
    <row r="574"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row>
    <row r="575"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row>
    <row r="576"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row>
    <row r="577"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row>
    <row r="578"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row>
    <row r="579"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row>
    <row r="580"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row>
    <row r="581"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row>
    <row r="582"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row>
    <row r="583"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row>
    <row r="584"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row>
    <row r="585"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row>
    <row r="586"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row>
    <row r="587"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row>
    <row r="588"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row>
    <row r="589"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row>
    <row r="590"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row>
    <row r="591"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row>
    <row r="592"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row>
    <row r="593"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row>
    <row r="594"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row>
    <row r="595"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row>
    <row r="596"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row>
    <row r="597"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row>
    <row r="598"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row>
    <row r="599"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row>
    <row r="600"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row>
    <row r="601"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row>
    <row r="602"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row>
    <row r="603"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row>
    <row r="604"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row>
    <row r="605"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row>
    <row r="606"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row>
    <row r="607"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row>
    <row r="608"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row>
    <row r="609"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row>
    <row r="610"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row>
    <row r="611"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row>
    <row r="612"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row>
    <row r="613"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row>
    <row r="614"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row>
    <row r="615"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row>
    <row r="616"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row>
    <row r="617"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row>
    <row r="618"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row>
    <row r="619"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row>
    <row r="620"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row>
    <row r="621"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row>
    <row r="622"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row>
    <row r="623"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row>
    <row r="624"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row>
    <row r="625"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row>
    <row r="626"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row>
    <row r="627"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row>
    <row r="628"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row>
    <row r="629"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row>
    <row r="630"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row>
    <row r="631"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row>
    <row r="632"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row>
    <row r="633"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row>
    <row r="634"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row>
    <row r="635"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row>
    <row r="636"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row>
    <row r="637"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row>
    <row r="638"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row>
    <row r="639"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row>
    <row r="640"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row>
    <row r="641"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row>
    <row r="642"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row>
    <row r="643"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row>
    <row r="644"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row>
    <row r="645"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row>
    <row r="646"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row>
    <row r="647"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row>
    <row r="648"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row>
    <row r="649"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row>
    <row r="650"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row>
    <row r="651"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row>
    <row r="652"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row>
    <row r="653"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row>
    <row r="654"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row>
    <row r="655"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row>
    <row r="656"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row>
    <row r="657"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row>
    <row r="658"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row>
    <row r="659"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row>
    <row r="660"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row>
    <row r="661"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row>
    <row r="662"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row>
    <row r="663"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row>
    <row r="664"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row>
    <row r="665"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row>
    <row r="666"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row>
    <row r="667"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row>
    <row r="668"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row>
    <row r="669"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row>
    <row r="670"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row>
    <row r="671"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row>
    <row r="672"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row>
    <row r="673"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row>
    <row r="674"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row>
    <row r="675"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row>
    <row r="676"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row>
    <row r="677"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row>
    <row r="678"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row>
    <row r="679"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row>
    <row r="680"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row>
    <row r="681"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row>
    <row r="682"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row>
    <row r="683"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row>
    <row r="684"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row>
    <row r="685"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row>
    <row r="686"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row>
    <row r="687"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row>
    <row r="688"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row>
    <row r="689"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row>
    <row r="690"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row>
    <row r="691"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row>
    <row r="692"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row>
    <row r="693"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row>
    <row r="694"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row>
    <row r="695"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row>
    <row r="696"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row>
    <row r="697"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row>
    <row r="698"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row>
    <row r="699"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row>
    <row r="700"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row>
    <row r="701"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row>
    <row r="702"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row>
    <row r="703"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row>
    <row r="704"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row>
    <row r="705"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row>
    <row r="706"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row>
    <row r="707"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row>
    <row r="708"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row>
    <row r="709"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row>
    <row r="710"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row>
    <row r="711"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row>
    <row r="712"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row>
    <row r="713"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row>
    <row r="714"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row>
    <row r="715"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row>
    <row r="716"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row>
    <row r="717"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row>
    <row r="718"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row>
    <row r="719"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row>
    <row r="720"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row>
    <row r="721"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row>
    <row r="722"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row>
    <row r="723"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row>
    <row r="724"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row>
    <row r="725"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row>
    <row r="726"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row>
    <row r="727"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row>
    <row r="728"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row>
    <row r="729"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row>
    <row r="730"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row>
    <row r="731"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row>
    <row r="732"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row>
    <row r="733"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row>
    <row r="734"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row>
    <row r="735"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row>
    <row r="736"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row>
    <row r="737"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row>
    <row r="738"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row>
    <row r="739"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row>
    <row r="740"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row>
    <row r="741"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row>
    <row r="742"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row>
    <row r="743"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row>
    <row r="744"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row>
    <row r="745"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row>
    <row r="746"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row>
    <row r="747"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row>
    <row r="748"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row>
    <row r="749"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row>
    <row r="750"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row>
    <row r="751"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row>
    <row r="752"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row>
    <row r="753"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row>
    <row r="754"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row>
    <row r="755"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row>
    <row r="756"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row>
    <row r="757"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row>
    <row r="758"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row>
    <row r="759"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row>
    <row r="760"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row>
    <row r="761"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row>
    <row r="762"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row>
    <row r="763"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row>
    <row r="764"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row>
    <row r="765"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row>
    <row r="766"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row>
    <row r="767"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row>
    <row r="768"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row>
    <row r="769"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row>
    <row r="770"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row>
    <row r="771"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row>
    <row r="772"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row>
    <row r="773"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row>
    <row r="774"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row>
    <row r="775"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row>
    <row r="776"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row>
    <row r="777"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row>
    <row r="778"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row>
    <row r="779"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row>
    <row r="780"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row>
    <row r="781"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row>
    <row r="782"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row>
    <row r="783"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row>
    <row r="784"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row>
    <row r="785"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row>
    <row r="786"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row>
    <row r="787"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row>
    <row r="788"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row>
    <row r="789"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row>
    <row r="790"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row>
    <row r="791"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row>
    <row r="792"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row>
    <row r="793"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row>
    <row r="794"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row>
    <row r="795"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row>
    <row r="796"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row>
    <row r="797"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row>
    <row r="798"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row>
    <row r="799"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row>
    <row r="800"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row>
    <row r="801"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row>
    <row r="802"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row>
    <row r="803"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row>
    <row r="804"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row>
    <row r="805"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row>
    <row r="806"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row>
    <row r="807"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row>
    <row r="808"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row>
    <row r="809"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row>
    <row r="810"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row>
    <row r="811"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row>
    <row r="812"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row>
    <row r="813"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row>
    <row r="814"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row>
    <row r="815"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row>
    <row r="816"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row>
    <row r="817"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row>
    <row r="818"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row>
    <row r="819"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row>
    <row r="820"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row>
    <row r="821"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row>
    <row r="822"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row>
    <row r="823"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row>
    <row r="824"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row>
    <row r="825"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row>
    <row r="826"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row>
    <row r="827"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row>
    <row r="828"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row>
    <row r="829"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row>
    <row r="830"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row>
    <row r="831"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row>
    <row r="832"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row>
    <row r="833"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row>
    <row r="834"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row>
    <row r="835"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row>
    <row r="836"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row>
    <row r="837"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row>
    <row r="838"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row>
    <row r="839"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row>
    <row r="840"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row>
    <row r="841"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row>
    <row r="842"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row>
    <row r="843"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row>
    <row r="844"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row>
    <row r="845"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row>
    <row r="846"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row>
    <row r="847"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row>
    <row r="848"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row>
    <row r="849"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row>
    <row r="850"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row>
    <row r="851"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row>
    <row r="852"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row>
    <row r="853"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row>
    <row r="854"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row>
    <row r="855"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row>
    <row r="856"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row>
    <row r="857"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row>
    <row r="858"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row>
    <row r="859"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row>
    <row r="860"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row>
    <row r="861"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row>
    <row r="862"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row>
    <row r="863"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row>
    <row r="864"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row>
    <row r="865"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row>
    <row r="866"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row>
    <row r="867"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row>
    <row r="868"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row>
    <row r="869"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row>
    <row r="870"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row>
    <row r="871"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row>
    <row r="872"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row>
    <row r="873"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row>
    <row r="874"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row>
    <row r="875"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row>
    <row r="876"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row>
    <row r="877"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row>
    <row r="878"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row>
    <row r="879"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row>
    <row r="880"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row>
    <row r="881"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row>
    <row r="882"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row>
    <row r="883"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row>
    <row r="884"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row>
    <row r="885"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row>
    <row r="886"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row>
    <row r="887"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row>
    <row r="888"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row>
    <row r="889"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row>
    <row r="890"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row>
    <row r="891"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row>
    <row r="892"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row>
    <row r="893"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row>
    <row r="894"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row>
    <row r="895"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row>
    <row r="896"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row>
    <row r="897"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row>
    <row r="898"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row>
    <row r="899"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row>
    <row r="900"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row>
    <row r="901"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row>
    <row r="902"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row>
    <row r="903"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row>
    <row r="904"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row>
    <row r="905"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row>
    <row r="906"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row>
    <row r="907"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row>
    <row r="908"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row>
    <row r="909"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row>
    <row r="910"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row>
    <row r="911"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row>
    <row r="912"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row>
    <row r="913"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row>
    <row r="914"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row>
    <row r="915"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row>
    <row r="916"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row>
    <row r="917"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row>
    <row r="918"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row>
    <row r="919"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row>
    <row r="920"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row>
    <row r="921"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row>
    <row r="922"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row>
    <row r="923"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row>
    <row r="924"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row>
    <row r="925"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row>
    <row r="926"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row>
    <row r="927"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row>
    <row r="928"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row>
    <row r="929"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row>
    <row r="930"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row>
    <row r="931"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row>
    <row r="932"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row>
    <row r="933"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row>
    <row r="934"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row>
    <row r="935"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row>
    <row r="936"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row>
    <row r="937"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row>
    <row r="938"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row>
    <row r="939"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row>
    <row r="940"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row>
    <row r="941"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row>
    <row r="942"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row>
    <row r="943"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row>
    <row r="944"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row>
    <row r="945"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row>
    <row r="946"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row>
    <row r="947"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row>
    <row r="948"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row>
    <row r="949"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row>
    <row r="950"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row>
    <row r="951"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row>
    <row r="952"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row>
    <row r="953"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row>
    <row r="954"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row>
    <row r="955"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row>
    <row r="956"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row>
    <row r="957"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row>
    <row r="958"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row>
    <row r="959"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row>
    <row r="960"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row>
    <row r="961"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row>
    <row r="962"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row>
    <row r="963"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row>
    <row r="964"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row>
    <row r="965"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row>
    <row r="966" ht="15.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row>
    <row r="967" ht="15.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row>
    <row r="968" ht="15.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row>
    <row r="969" ht="15.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row>
    <row r="970" ht="15.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row>
    <row r="971" ht="15.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row>
    <row r="972" ht="15.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row>
    <row r="973" ht="15.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row>
    <row r="974" ht="15.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row>
    <row r="975" ht="15.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row>
    <row r="976" ht="15.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row>
    <row r="977" ht="15.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row>
    <row r="978" ht="15.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row>
    <row r="979" ht="15.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row>
    <row r="980" ht="15.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row>
    <row r="981" ht="15.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row>
    <row r="982" ht="15.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row>
    <row r="983" ht="15.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row>
    <row r="984" ht="15.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row>
  </sheetData>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workbookViewId="0"/>
  </sheetViews>
  <sheetFormatPr customHeight="1" defaultColWidth="12.63" defaultRowHeight="15.0"/>
  <cols>
    <col customWidth="1" min="1" max="36" width="11.13"/>
  </cols>
  <sheetData>
    <row r="1" ht="15.75" customHeight="1">
      <c r="A1" s="142" t="s">
        <v>140</v>
      </c>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row>
    <row r="2" ht="15.75" customHeight="1">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row>
    <row r="3" ht="15.75" customHeight="1">
      <c r="A3" s="151"/>
      <c r="B3" s="103">
        <v>2005.0</v>
      </c>
      <c r="C3" s="103">
        <v>2006.0</v>
      </c>
      <c r="D3" s="103">
        <v>2007.0</v>
      </c>
      <c r="E3" s="103">
        <v>2008.0</v>
      </c>
      <c r="F3" s="103">
        <v>2009.0</v>
      </c>
      <c r="G3" s="103">
        <v>2010.0</v>
      </c>
      <c r="H3" s="103">
        <v>2011.0</v>
      </c>
      <c r="I3" s="103">
        <v>2012.0</v>
      </c>
      <c r="J3" s="103">
        <v>2013.0</v>
      </c>
      <c r="K3" s="103">
        <v>2014.0</v>
      </c>
      <c r="L3" s="103">
        <v>2015.0</v>
      </c>
      <c r="M3" s="103">
        <v>2016.0</v>
      </c>
      <c r="N3" s="103">
        <v>2017.0</v>
      </c>
      <c r="O3" s="103">
        <v>2018.0</v>
      </c>
      <c r="P3" s="103">
        <v>2019.0</v>
      </c>
      <c r="Q3" s="103">
        <v>2020.0</v>
      </c>
      <c r="R3" s="103">
        <v>2021.0</v>
      </c>
      <c r="S3" s="103">
        <v>2022.0</v>
      </c>
      <c r="T3" s="103">
        <v>2023.0</v>
      </c>
      <c r="U3" s="103">
        <v>2024.0</v>
      </c>
      <c r="V3" s="103">
        <v>2025.0</v>
      </c>
      <c r="W3" s="24"/>
      <c r="X3" s="24"/>
      <c r="Y3" s="24"/>
      <c r="Z3" s="24"/>
      <c r="AA3" s="24"/>
      <c r="AB3" s="24"/>
      <c r="AC3" s="24"/>
      <c r="AD3" s="24"/>
      <c r="AE3" s="24"/>
      <c r="AF3" s="24"/>
      <c r="AG3" s="24"/>
      <c r="AH3" s="24"/>
      <c r="AI3" s="24"/>
      <c r="AJ3" s="24"/>
    </row>
    <row r="4" ht="15.75" customHeight="1">
      <c r="A4" s="25" t="s">
        <v>42</v>
      </c>
      <c r="B4" s="152">
        <v>50.7</v>
      </c>
      <c r="C4" s="108">
        <v>51.4</v>
      </c>
      <c r="D4" s="108">
        <v>51.9</v>
      </c>
      <c r="E4" s="108">
        <v>52.1</v>
      </c>
      <c r="F4" s="108">
        <v>52.3</v>
      </c>
      <c r="G4" s="108">
        <v>52.6</v>
      </c>
      <c r="H4" s="108">
        <v>52.7</v>
      </c>
      <c r="I4" s="108">
        <v>53.5</v>
      </c>
      <c r="J4" s="108">
        <v>54.2</v>
      </c>
      <c r="K4" s="108">
        <v>54.8</v>
      </c>
      <c r="L4" s="108">
        <v>55.4</v>
      </c>
      <c r="M4" s="108">
        <v>55.8</v>
      </c>
      <c r="N4" s="108">
        <v>56.1</v>
      </c>
      <c r="O4" s="108">
        <v>56.2</v>
      </c>
      <c r="P4" s="108">
        <v>56.4</v>
      </c>
      <c r="Q4" s="108">
        <v>56.7</v>
      </c>
      <c r="R4" s="108">
        <v>57.3</v>
      </c>
      <c r="S4" s="108">
        <v>57.5</v>
      </c>
      <c r="T4" s="108">
        <v>57.4</v>
      </c>
      <c r="U4" s="108">
        <v>57.6</v>
      </c>
      <c r="V4" s="108">
        <v>57.8</v>
      </c>
      <c r="W4" s="24"/>
      <c r="X4" s="24"/>
      <c r="Y4" s="24"/>
      <c r="Z4" s="24"/>
      <c r="AA4" s="24"/>
      <c r="AB4" s="24"/>
      <c r="AC4" s="24"/>
      <c r="AD4" s="24"/>
      <c r="AE4" s="24"/>
      <c r="AF4" s="24"/>
      <c r="AG4" s="24"/>
      <c r="AH4" s="24"/>
      <c r="AI4" s="24"/>
      <c r="AJ4" s="24"/>
    </row>
    <row r="5" ht="15.75" customHeight="1">
      <c r="A5" s="25" t="s">
        <v>43</v>
      </c>
      <c r="B5" s="152">
        <v>48.6</v>
      </c>
      <c r="C5" s="108">
        <v>49.8</v>
      </c>
      <c r="D5" s="108">
        <v>50.9</v>
      </c>
      <c r="E5" s="108">
        <v>51.6</v>
      </c>
      <c r="F5" s="108">
        <v>52.1</v>
      </c>
      <c r="G5" s="108">
        <v>52.8</v>
      </c>
      <c r="H5" s="108">
        <v>53.0</v>
      </c>
      <c r="I5" s="108">
        <v>54.0</v>
      </c>
      <c r="J5" s="108">
        <v>54.7</v>
      </c>
      <c r="K5" s="108">
        <v>55.5</v>
      </c>
      <c r="L5" s="108">
        <v>56.1</v>
      </c>
      <c r="M5" s="108">
        <v>56.5</v>
      </c>
      <c r="N5" s="108">
        <v>56.8</v>
      </c>
      <c r="O5" s="108">
        <v>56.9</v>
      </c>
      <c r="P5" s="108">
        <v>56.9</v>
      </c>
      <c r="Q5" s="108">
        <v>57.0</v>
      </c>
      <c r="R5" s="108">
        <v>56.7</v>
      </c>
      <c r="S5" s="108">
        <v>56.9</v>
      </c>
      <c r="T5" s="108">
        <v>56.6</v>
      </c>
      <c r="U5" s="108">
        <v>56.4</v>
      </c>
      <c r="V5" s="108">
        <v>56.4</v>
      </c>
      <c r="W5" s="24"/>
      <c r="X5" s="24"/>
      <c r="Y5" s="24"/>
      <c r="Z5" s="24"/>
      <c r="AA5" s="24"/>
      <c r="AB5" s="24"/>
      <c r="AC5" s="24"/>
      <c r="AD5" s="24"/>
      <c r="AE5" s="24"/>
      <c r="AF5" s="24"/>
      <c r="AG5" s="24"/>
      <c r="AH5" s="24"/>
      <c r="AI5" s="24"/>
      <c r="AJ5" s="24"/>
    </row>
    <row r="6" ht="15.75" customHeight="1">
      <c r="A6" s="25" t="s">
        <v>44</v>
      </c>
      <c r="B6" s="152">
        <v>47.2</v>
      </c>
      <c r="C6" s="108">
        <v>48.3</v>
      </c>
      <c r="D6" s="108">
        <v>49.3</v>
      </c>
      <c r="E6" s="108">
        <v>50.0</v>
      </c>
      <c r="F6" s="108">
        <v>50.6</v>
      </c>
      <c r="G6" s="108">
        <v>51.3</v>
      </c>
      <c r="H6" s="108">
        <v>51.6</v>
      </c>
      <c r="I6" s="108">
        <v>52.7</v>
      </c>
      <c r="J6" s="108">
        <v>53.4</v>
      </c>
      <c r="K6" s="108">
        <v>54.2</v>
      </c>
      <c r="L6" s="108">
        <v>54.8</v>
      </c>
      <c r="M6" s="108">
        <v>55.3</v>
      </c>
      <c r="N6" s="108">
        <v>55.6</v>
      </c>
      <c r="O6" s="108">
        <v>55.8</v>
      </c>
      <c r="P6" s="108">
        <v>55.7</v>
      </c>
      <c r="Q6" s="108">
        <v>55.8</v>
      </c>
      <c r="R6" s="108">
        <v>55.6</v>
      </c>
      <c r="S6" s="108">
        <v>55.7</v>
      </c>
      <c r="T6" s="108">
        <v>55.6</v>
      </c>
      <c r="U6" s="108">
        <v>55.6</v>
      </c>
      <c r="V6" s="108">
        <v>55.6</v>
      </c>
      <c r="W6" s="24"/>
      <c r="X6" s="24"/>
      <c r="Y6" s="24"/>
      <c r="Z6" s="24"/>
      <c r="AA6" s="24"/>
      <c r="AB6" s="24"/>
      <c r="AC6" s="24"/>
      <c r="AD6" s="24"/>
      <c r="AE6" s="24"/>
      <c r="AF6" s="24"/>
      <c r="AG6" s="24"/>
      <c r="AH6" s="24"/>
      <c r="AI6" s="24"/>
      <c r="AJ6" s="24"/>
    </row>
    <row r="7" ht="15.75" customHeight="1">
      <c r="A7" s="24" t="s">
        <v>45</v>
      </c>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row>
    <row r="8" ht="15.75" customHeight="1">
      <c r="A8" s="24" t="s">
        <v>141</v>
      </c>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row>
    <row r="9" ht="15.75" customHeight="1">
      <c r="A9" s="24"/>
      <c r="B9" s="24"/>
      <c r="C9" s="24"/>
      <c r="D9" s="24"/>
      <c r="E9" s="24"/>
      <c r="F9" s="24"/>
      <c r="G9" s="24"/>
      <c r="H9" s="24"/>
      <c r="I9" s="24"/>
      <c r="J9" s="24"/>
      <c r="K9" s="24"/>
      <c r="L9" s="24"/>
      <c r="M9" s="75"/>
      <c r="N9" s="75"/>
      <c r="O9" s="75"/>
      <c r="P9" s="77"/>
      <c r="Q9" s="75"/>
      <c r="R9" s="24"/>
      <c r="S9" s="24"/>
      <c r="T9" s="24"/>
      <c r="U9" s="24"/>
      <c r="V9" s="24"/>
      <c r="W9" s="24"/>
      <c r="X9" s="24"/>
      <c r="Y9" s="24"/>
      <c r="Z9" s="24"/>
      <c r="AA9" s="24"/>
      <c r="AB9" s="24"/>
      <c r="AC9" s="24"/>
      <c r="AD9" s="24"/>
      <c r="AE9" s="24"/>
      <c r="AF9" s="24"/>
      <c r="AG9" s="24"/>
      <c r="AH9" s="24"/>
      <c r="AI9" s="24"/>
      <c r="AJ9" s="24"/>
    </row>
    <row r="10" ht="15.75" customHeight="1">
      <c r="A10" s="24"/>
      <c r="B10" s="24"/>
      <c r="C10" s="24"/>
      <c r="D10" s="24"/>
      <c r="E10" s="24"/>
      <c r="F10" s="24"/>
      <c r="G10" s="24"/>
      <c r="H10" s="24"/>
      <c r="I10" s="24"/>
      <c r="J10" s="24"/>
      <c r="K10" s="24"/>
      <c r="L10" s="24"/>
      <c r="M10" s="75"/>
      <c r="N10" s="75"/>
      <c r="O10" s="75"/>
      <c r="P10" s="77"/>
      <c r="Q10" s="75"/>
      <c r="R10" s="24"/>
      <c r="S10" s="24"/>
      <c r="T10" s="24"/>
      <c r="U10" s="24"/>
      <c r="V10" s="24"/>
      <c r="W10" s="24"/>
      <c r="X10" s="24"/>
      <c r="Y10" s="24"/>
      <c r="Z10" s="24"/>
      <c r="AA10" s="24"/>
      <c r="AB10" s="24"/>
      <c r="AC10" s="24"/>
      <c r="AD10" s="24"/>
      <c r="AE10" s="24"/>
      <c r="AF10" s="24"/>
      <c r="AG10" s="24"/>
      <c r="AH10" s="24"/>
      <c r="AI10" s="24"/>
      <c r="AJ10" s="24"/>
    </row>
    <row r="11" ht="15.75" customHeight="1">
      <c r="A11" s="24"/>
      <c r="B11" s="24"/>
      <c r="C11" s="24"/>
      <c r="D11" s="24"/>
      <c r="E11" s="24"/>
      <c r="F11" s="24"/>
      <c r="G11" s="24"/>
      <c r="H11" s="24"/>
      <c r="I11" s="24"/>
      <c r="J11" s="24"/>
      <c r="K11" s="24"/>
      <c r="L11" s="24"/>
      <c r="M11" s="75"/>
      <c r="N11" s="75"/>
      <c r="O11" s="75"/>
      <c r="P11" s="77"/>
      <c r="Q11" s="75"/>
      <c r="R11" s="24"/>
      <c r="S11" s="24"/>
      <c r="T11" s="24"/>
      <c r="U11" s="24"/>
      <c r="V11" s="24"/>
      <c r="W11" s="24"/>
      <c r="X11" s="24"/>
      <c r="Y11" s="24"/>
      <c r="Z11" s="24"/>
      <c r="AA11" s="24"/>
      <c r="AB11" s="24"/>
      <c r="AC11" s="24"/>
      <c r="AD11" s="24"/>
      <c r="AE11" s="24"/>
      <c r="AF11" s="24"/>
      <c r="AG11" s="24"/>
      <c r="AH11" s="24"/>
      <c r="AI11" s="24"/>
      <c r="AJ11" s="24"/>
    </row>
    <row r="12" ht="15.75" customHeight="1">
      <c r="A12" s="24"/>
      <c r="B12" s="24"/>
      <c r="C12" s="24"/>
      <c r="D12" s="24"/>
      <c r="E12" s="24"/>
      <c r="F12" s="24"/>
      <c r="G12" s="24"/>
      <c r="H12" s="24"/>
      <c r="I12" s="24"/>
      <c r="J12" s="24"/>
      <c r="K12" s="24"/>
      <c r="L12" s="24"/>
      <c r="M12" s="75"/>
      <c r="N12" s="75"/>
      <c r="O12" s="75"/>
      <c r="P12" s="77"/>
      <c r="Q12" s="75"/>
      <c r="R12" s="24"/>
      <c r="S12" s="24"/>
      <c r="T12" s="24"/>
      <c r="U12" s="24"/>
      <c r="V12" s="24"/>
      <c r="W12" s="24"/>
      <c r="X12" s="24"/>
      <c r="Y12" s="24"/>
      <c r="Z12" s="24"/>
      <c r="AA12" s="24"/>
      <c r="AB12" s="24"/>
      <c r="AC12" s="24"/>
      <c r="AD12" s="24"/>
      <c r="AE12" s="24"/>
      <c r="AF12" s="24"/>
      <c r="AG12" s="24"/>
      <c r="AH12" s="24"/>
      <c r="AI12" s="24"/>
      <c r="AJ12" s="24"/>
    </row>
    <row r="13" ht="15.75" customHeight="1">
      <c r="A13" s="24"/>
      <c r="B13" s="24"/>
      <c r="C13" s="24"/>
      <c r="D13" s="24"/>
      <c r="E13" s="24"/>
      <c r="F13" s="24"/>
      <c r="G13" s="24"/>
      <c r="H13" s="24"/>
      <c r="I13" s="24"/>
      <c r="J13" s="24"/>
      <c r="K13" s="24"/>
      <c r="L13" s="24"/>
      <c r="M13" s="75"/>
      <c r="N13" s="75"/>
      <c r="O13" s="75"/>
      <c r="P13" s="77"/>
      <c r="Q13" s="75"/>
      <c r="R13" s="24"/>
      <c r="S13" s="24"/>
      <c r="T13" s="24"/>
      <c r="U13" s="24"/>
      <c r="V13" s="24"/>
      <c r="W13" s="24"/>
      <c r="X13" s="24"/>
      <c r="Y13" s="24"/>
      <c r="Z13" s="24"/>
      <c r="AA13" s="24"/>
      <c r="AB13" s="24"/>
      <c r="AC13" s="24"/>
      <c r="AD13" s="24"/>
      <c r="AE13" s="24"/>
      <c r="AF13" s="24"/>
      <c r="AG13" s="24"/>
      <c r="AH13" s="24"/>
      <c r="AI13" s="24"/>
      <c r="AJ13" s="24"/>
    </row>
    <row r="14" ht="15.75" customHeight="1">
      <c r="A14" s="24"/>
      <c r="B14" s="24"/>
      <c r="C14" s="24"/>
      <c r="D14" s="24"/>
      <c r="E14" s="24"/>
      <c r="F14" s="24"/>
      <c r="G14" s="24"/>
      <c r="H14" s="24"/>
      <c r="I14" s="24"/>
      <c r="J14" s="24"/>
      <c r="K14" s="24"/>
      <c r="L14" s="24"/>
      <c r="M14" s="75"/>
      <c r="N14" s="75"/>
      <c r="O14" s="75"/>
      <c r="P14" s="77"/>
      <c r="Q14" s="24"/>
      <c r="R14" s="24"/>
      <c r="S14" s="24"/>
      <c r="T14" s="24"/>
      <c r="U14" s="24"/>
      <c r="V14" s="24"/>
      <c r="W14" s="24"/>
      <c r="X14" s="24"/>
      <c r="Y14" s="24"/>
      <c r="Z14" s="24"/>
      <c r="AA14" s="24"/>
      <c r="AB14" s="24"/>
      <c r="AC14" s="24"/>
      <c r="AD14" s="24"/>
      <c r="AE14" s="24"/>
      <c r="AF14" s="24"/>
      <c r="AG14" s="24"/>
      <c r="AH14" s="24"/>
      <c r="AI14" s="24"/>
      <c r="AJ14" s="24"/>
    </row>
    <row r="15" ht="15.75" customHeight="1">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row>
    <row r="16" ht="15.75" customHeight="1">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row>
    <row r="17" ht="15.75" customHeight="1">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row>
    <row r="18" ht="15.75" customHeight="1">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row>
    <row r="19" ht="15.75" customHeight="1">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row>
    <row r="20" ht="15.75" customHeight="1">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row>
    <row r="21" ht="15.75" customHeight="1">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row>
    <row r="22" ht="15.7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row>
    <row r="23" ht="15.7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row>
    <row r="24" ht="15.75" customHeight="1">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row>
    <row r="25"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row>
    <row r="26"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row>
    <row r="27"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row>
    <row r="28"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row>
    <row r="29"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row>
    <row r="30"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row>
    <row r="31"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row>
    <row r="32"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row>
    <row r="33"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row>
    <row r="34"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row>
    <row r="35"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row>
    <row r="36"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row>
    <row r="37"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row>
    <row r="38"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row>
    <row r="3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row>
    <row r="40"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row>
    <row r="41"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row>
    <row r="42"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row>
    <row r="43"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row>
    <row r="44"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row>
    <row r="45"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row>
    <row r="46"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row>
    <row r="47"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row>
    <row r="4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row>
    <row r="4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row>
    <row r="50"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row>
    <row r="51"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row>
    <row r="52"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row>
    <row r="53"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row>
    <row r="54"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row>
    <row r="55"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row>
    <row r="56"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row>
    <row r="57"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row>
    <row r="5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row>
    <row r="5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row>
    <row r="60"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row>
    <row r="61"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row>
    <row r="62"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row>
    <row r="63"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row>
    <row r="64"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row>
    <row r="65"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row>
    <row r="66"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row>
    <row r="67"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row>
    <row r="6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row>
    <row r="6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row>
    <row r="70"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row>
    <row r="71"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row>
    <row r="72"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row>
    <row r="73"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row>
    <row r="74"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row>
    <row r="75"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row>
    <row r="76"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row>
    <row r="77"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row>
    <row r="7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row>
    <row r="7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row>
    <row r="80"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row>
    <row r="81"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row>
    <row r="82"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row>
    <row r="83"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row>
    <row r="84"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row>
    <row r="85"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row>
    <row r="86"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row>
    <row r="87"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row>
    <row r="8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row>
    <row r="8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row>
    <row r="90"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row>
    <row r="91"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row>
    <row r="92"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row>
    <row r="93"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row>
    <row r="94"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row>
    <row r="95"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row>
    <row r="96"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row>
    <row r="97"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row>
    <row r="9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row>
    <row r="9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row>
    <row r="100"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row>
    <row r="101"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row>
    <row r="102"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row>
    <row r="103"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row>
    <row r="104"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row>
    <row r="105"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row>
    <row r="106"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row>
    <row r="107"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row>
    <row r="10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row>
    <row r="10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row>
    <row r="110"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row>
    <row r="111"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row>
    <row r="112"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row>
    <row r="113"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row>
    <row r="114"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row>
    <row r="115"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row>
    <row r="116"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row>
    <row r="117"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row>
    <row r="11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row>
    <row r="11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row>
    <row r="120"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row>
    <row r="121"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row>
    <row r="122"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row>
    <row r="123"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row>
    <row r="124"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row>
    <row r="125"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row>
    <row r="126"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row>
    <row r="127"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row>
    <row r="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row>
    <row r="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row>
    <row r="130"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row>
    <row r="131"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row>
    <row r="132"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row>
    <row r="133"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row>
    <row r="134"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row>
    <row r="135"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row>
    <row r="136"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row>
    <row r="137"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row>
    <row r="13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row>
    <row r="13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row>
    <row r="140"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row>
    <row r="141"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row>
    <row r="142"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row>
    <row r="143"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row>
    <row r="144"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row>
    <row r="145"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row>
    <row r="146"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row>
    <row r="147"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row>
    <row r="14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row>
    <row r="14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row>
    <row r="150"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row>
    <row r="151"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row>
    <row r="152"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row>
    <row r="153"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row>
    <row r="154"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row>
    <row r="155"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row>
    <row r="156"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row>
    <row r="157"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row>
    <row r="15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row>
    <row r="15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row>
    <row r="160"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row>
    <row r="161"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row>
    <row r="162"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row>
    <row r="163"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row>
    <row r="164"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row>
    <row r="165"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row>
    <row r="166"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row>
    <row r="167"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row>
    <row r="16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row>
    <row r="16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row>
    <row r="170"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row>
    <row r="171"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row>
    <row r="172"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row>
    <row r="173"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row>
    <row r="174"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row>
    <row r="175"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row>
    <row r="176"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row>
    <row r="177"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row>
    <row r="17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row>
    <row r="17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row>
    <row r="180"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row>
    <row r="181"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row>
    <row r="182"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row>
    <row r="183"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row>
    <row r="184"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row>
    <row r="185"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row>
    <row r="186"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row>
    <row r="187"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row>
    <row r="18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row>
    <row r="18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row>
    <row r="190"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row>
    <row r="191"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row>
    <row r="192"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row>
    <row r="193"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row>
    <row r="194"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row>
    <row r="195"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row>
    <row r="196"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row>
    <row r="197"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row>
    <row r="198"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row>
    <row r="199"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row>
    <row r="200"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row>
    <row r="201"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row>
    <row r="202"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row>
    <row r="203"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row>
    <row r="204"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row>
    <row r="205"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row>
    <row r="206"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row>
    <row r="207"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row>
    <row r="208"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row>
    <row r="209"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row>
    <row r="210"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row>
    <row r="211"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row>
    <row r="212"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row>
    <row r="213"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row>
    <row r="214"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row>
    <row r="215"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row>
    <row r="216"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row>
    <row r="217"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row>
    <row r="218"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row>
    <row r="219"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row>
    <row r="220"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row>
    <row r="221"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row>
    <row r="222"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row>
    <row r="223"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row>
    <row r="224"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row>
    <row r="225"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row>
    <row r="226"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row>
    <row r="227"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row>
    <row r="228"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row>
    <row r="229"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row>
    <row r="230"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row>
    <row r="231"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row>
    <row r="232"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row>
    <row r="233"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row>
    <row r="234"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row>
    <row r="235"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row>
    <row r="236"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row>
    <row r="237"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row>
    <row r="238"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row>
    <row r="239"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row>
    <row r="240"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row>
    <row r="241"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row>
    <row r="242"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row>
    <row r="243"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row>
    <row r="244"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row>
    <row r="245"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row>
    <row r="246"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row>
    <row r="247"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row>
    <row r="248"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row>
    <row r="249"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row>
    <row r="250"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row>
    <row r="251"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row>
    <row r="252"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row>
    <row r="253"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row>
    <row r="254"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row>
    <row r="255"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row>
    <row r="256"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row>
    <row r="257"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row>
    <row r="258"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row>
    <row r="259"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row>
    <row r="260"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row>
    <row r="261"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row>
    <row r="262"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row>
    <row r="263"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row>
    <row r="264"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row>
    <row r="265"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row>
    <row r="266"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row>
    <row r="267"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row>
    <row r="268"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row>
    <row r="269"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row>
    <row r="270"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row>
    <row r="271"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row>
    <row r="272"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row>
    <row r="273"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row>
    <row r="274"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row>
    <row r="275"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row>
    <row r="276"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row>
    <row r="277"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row>
    <row r="278"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row>
    <row r="279"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row>
    <row r="280"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row>
    <row r="281"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row>
    <row r="282"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row>
    <row r="283"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row>
    <row r="284"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row>
    <row r="285"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row>
    <row r="286"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row>
    <row r="287"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row>
    <row r="288"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row>
    <row r="289"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row>
    <row r="290"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row>
    <row r="291"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row>
    <row r="292"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row>
    <row r="293"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row>
    <row r="294"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row>
    <row r="295"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row>
    <row r="296"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row>
    <row r="297"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row>
    <row r="298"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row>
    <row r="299"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row>
    <row r="300"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row>
    <row r="301"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row>
    <row r="302"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row>
    <row r="303"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row>
    <row r="304"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row>
    <row r="305"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row>
    <row r="306"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row>
    <row r="307"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row>
    <row r="308"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row>
    <row r="309"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row>
    <row r="310"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row>
    <row r="311"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row>
    <row r="312"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row>
    <row r="313"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row>
    <row r="314"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row>
    <row r="315"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row>
    <row r="316"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row>
    <row r="317"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row>
    <row r="318"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row>
    <row r="319"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row>
    <row r="320"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row>
    <row r="321"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row>
    <row r="322"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row>
    <row r="323"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row>
    <row r="324"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row>
    <row r="325"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row>
    <row r="326"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row>
    <row r="327"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row>
    <row r="328"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row>
    <row r="329"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row>
    <row r="330"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row>
    <row r="331"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row>
    <row r="332"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row>
    <row r="333"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row>
    <row r="334"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row>
    <row r="335"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row>
    <row r="336"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row>
    <row r="337"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row>
    <row r="338"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row>
    <row r="339"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row>
    <row r="340"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row>
    <row r="341"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row>
    <row r="342"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row>
    <row r="343"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row>
    <row r="344"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row>
    <row r="345"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row>
    <row r="346"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row>
    <row r="347"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row>
    <row r="348"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row>
    <row r="349"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row>
    <row r="350"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row>
    <row r="351"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row>
    <row r="352"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row>
    <row r="353"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row>
    <row r="354"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row>
    <row r="355"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row>
    <row r="356"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row>
    <row r="357"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row>
    <row r="358"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row>
    <row r="359"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row>
    <row r="360"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row>
    <row r="361"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row>
    <row r="362"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row>
    <row r="363"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row>
    <row r="364"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row>
    <row r="365"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row>
    <row r="366"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row>
    <row r="367"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row>
    <row r="368"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row>
    <row r="369"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row>
    <row r="370"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row>
    <row r="371"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row>
    <row r="372"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row>
    <row r="373"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row>
    <row r="374"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row>
    <row r="375"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row>
    <row r="376"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row>
    <row r="377"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row>
    <row r="378"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row>
    <row r="379"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row>
    <row r="380"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row>
    <row r="381"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row>
    <row r="382"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row>
    <row r="383"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row>
    <row r="384"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row>
    <row r="385"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row>
    <row r="386"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row>
    <row r="387"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row>
    <row r="388"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row>
    <row r="389"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row>
    <row r="390"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row>
    <row r="391"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row>
    <row r="392"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row>
    <row r="393"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row>
    <row r="394"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row>
    <row r="395"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row>
    <row r="396"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row>
    <row r="397"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row>
    <row r="398"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row>
    <row r="399"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row>
    <row r="400"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row>
    <row r="401"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row>
    <row r="402"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row>
    <row r="403"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row>
    <row r="404"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row>
    <row r="405"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row>
    <row r="406"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row>
    <row r="407"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row>
    <row r="408"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row>
    <row r="409"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row>
    <row r="410"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row>
    <row r="411"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row>
    <row r="412"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row>
    <row r="413"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row>
    <row r="414"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row>
    <row r="415"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row>
    <row r="416"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row>
    <row r="417"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row>
    <row r="418"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row>
    <row r="419"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row>
    <row r="420"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row>
    <row r="421"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row>
    <row r="422"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row>
    <row r="423"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row>
    <row r="424"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row>
    <row r="425"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row>
    <row r="426"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row>
    <row r="427"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row>
    <row r="428"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row>
    <row r="429"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row>
    <row r="430"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row>
    <row r="431"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row>
    <row r="432"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row>
    <row r="433"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row>
    <row r="434"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row>
    <row r="435"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row>
    <row r="436"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row>
    <row r="437"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row>
    <row r="438"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row>
    <row r="439"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row>
    <row r="440"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row>
    <row r="441"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row>
    <row r="442"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row>
    <row r="443"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row>
    <row r="444"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row>
    <row r="445"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row>
    <row r="446"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row>
    <row r="447"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row>
    <row r="448"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row>
    <row r="449"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row>
    <row r="450"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row>
    <row r="451"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row>
    <row r="452"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row>
    <row r="453"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row>
    <row r="454"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row>
    <row r="455"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row>
    <row r="456"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row>
    <row r="457"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row>
    <row r="458"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row>
    <row r="459"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row>
    <row r="460"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row>
    <row r="461"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row>
    <row r="462"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row>
    <row r="463"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row>
    <row r="464"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row>
    <row r="465"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row>
    <row r="466"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row>
    <row r="467"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row>
    <row r="468"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row>
    <row r="469"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row>
    <row r="470"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row>
    <row r="471"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row>
    <row r="472"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row>
    <row r="473"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row>
    <row r="474"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row>
    <row r="475"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row>
    <row r="476"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row>
    <row r="477"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row>
    <row r="478"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row>
    <row r="479"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row>
    <row r="480"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row>
    <row r="481"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row>
    <row r="482"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row>
    <row r="483"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row>
    <row r="484"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row>
    <row r="485"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row>
    <row r="486"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row>
    <row r="487"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row>
    <row r="488"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row>
    <row r="489"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row>
    <row r="490"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row>
    <row r="491"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row>
    <row r="492"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row>
    <row r="493"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row>
    <row r="494"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row>
    <row r="495"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row>
    <row r="496"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row>
    <row r="497"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row>
    <row r="498"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row>
    <row r="499"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row>
    <row r="500"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row>
    <row r="501"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row>
    <row r="502"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row>
    <row r="503"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row>
    <row r="504"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row>
    <row r="505"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row>
    <row r="506"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row>
    <row r="507"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row>
    <row r="508"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row>
    <row r="509"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row>
    <row r="510"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row>
    <row r="511"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row>
    <row r="512"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row>
    <row r="513"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row>
    <row r="514"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row>
    <row r="515"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row>
    <row r="516"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row>
    <row r="517"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row>
    <row r="518"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row>
    <row r="519"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row>
    <row r="520"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row>
    <row r="521"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row>
    <row r="522"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row>
    <row r="523"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row>
    <row r="524"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row>
    <row r="525"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row>
    <row r="526"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row>
    <row r="527"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row>
    <row r="528"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row>
    <row r="529"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row>
    <row r="530"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row>
    <row r="531"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row>
    <row r="532"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row>
    <row r="533"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row>
    <row r="534"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row>
    <row r="535"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row>
    <row r="536"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row>
    <row r="537"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row>
    <row r="538"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row>
    <row r="539"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row>
    <row r="540"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row>
    <row r="541"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row>
    <row r="542"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row>
    <row r="543"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row>
    <row r="544"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row>
    <row r="545"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row>
    <row r="546"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row>
    <row r="547"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row>
    <row r="548"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row>
    <row r="549"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row>
    <row r="550"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row>
    <row r="551"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row>
    <row r="552"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row>
    <row r="553"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row>
    <row r="554"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row>
    <row r="555"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row>
    <row r="556"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row>
    <row r="557"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row>
    <row r="558"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row>
    <row r="559"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row>
    <row r="560"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row>
    <row r="561"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row>
    <row r="562"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row>
    <row r="563"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row>
    <row r="564"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row>
    <row r="565"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row>
    <row r="566"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row>
    <row r="567"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row>
    <row r="568"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row>
    <row r="569"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row>
    <row r="570"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row>
    <row r="571"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row>
    <row r="572"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row>
    <row r="573"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row>
    <row r="574"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row>
    <row r="575"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row>
    <row r="576"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row>
    <row r="577"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row>
    <row r="578"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row>
    <row r="579"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row>
    <row r="580"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row>
    <row r="581"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row>
    <row r="582"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row>
    <row r="583"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row>
    <row r="584"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row>
    <row r="585"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row>
    <row r="586"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row>
    <row r="587"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row>
    <row r="588"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row>
    <row r="589"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row>
    <row r="590"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row>
    <row r="591"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row>
    <row r="592"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row>
    <row r="593"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row>
    <row r="594"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row>
    <row r="595"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row>
    <row r="596"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row>
    <row r="597"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row>
    <row r="598"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row>
    <row r="599"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row>
    <row r="600"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row>
    <row r="601"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row>
    <row r="602"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row>
    <row r="603"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row>
    <row r="604"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row>
    <row r="605"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row>
    <row r="606"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row>
    <row r="607"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row>
    <row r="608"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row>
    <row r="609"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row>
    <row r="610"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row>
    <row r="611"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row>
    <row r="612"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row>
    <row r="613"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row>
    <row r="614"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row>
    <row r="615"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row>
    <row r="616"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row>
    <row r="617"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row>
    <row r="618"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row>
    <row r="619"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row>
    <row r="620"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row>
    <row r="621"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row>
    <row r="622"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row>
    <row r="623"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row>
    <row r="624"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row>
    <row r="625"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row>
    <row r="626"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row>
    <row r="627"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row>
    <row r="628"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row>
    <row r="629"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row>
    <row r="630"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row>
    <row r="631"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row>
    <row r="632"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row>
    <row r="633"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row>
    <row r="634"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row>
    <row r="635"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row>
    <row r="636"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row>
    <row r="637"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row>
    <row r="638"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row>
    <row r="639"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row>
    <row r="640"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row>
    <row r="641"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row>
    <row r="642"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row>
    <row r="643"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row>
    <row r="644"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row>
    <row r="645"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row>
    <row r="646"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row>
    <row r="647"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row>
    <row r="648"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row>
    <row r="649"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row>
    <row r="650"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row>
    <row r="651"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row>
    <row r="652"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row>
    <row r="653"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row>
    <row r="654"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row>
    <row r="655"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row>
    <row r="656"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row>
    <row r="657"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row>
    <row r="658"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row>
    <row r="659"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row>
    <row r="660"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row>
    <row r="661"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row>
    <row r="662"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row>
    <row r="663"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row>
    <row r="664"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row>
    <row r="665"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row>
    <row r="666"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row>
    <row r="667"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row>
    <row r="668"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row>
    <row r="669"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row>
    <row r="670"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row>
    <row r="671"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row>
    <row r="672"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row>
    <row r="673"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row>
    <row r="674"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row>
    <row r="675"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row>
    <row r="676"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row>
    <row r="677"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row>
    <row r="678"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row>
    <row r="679"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row>
    <row r="680"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row>
    <row r="681"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row>
    <row r="682"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row>
    <row r="683"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row>
    <row r="684"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row>
    <row r="685"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row>
    <row r="686"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row>
    <row r="687"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row>
    <row r="688"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row>
    <row r="689"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row>
    <row r="690"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row>
    <row r="691"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row>
    <row r="692"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row>
    <row r="693"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row>
    <row r="694"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row>
    <row r="695"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row>
    <row r="696"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row>
    <row r="697"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row>
    <row r="698"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row>
    <row r="699"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row>
    <row r="700"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row>
    <row r="701"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row>
    <row r="702"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row>
    <row r="703"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row>
    <row r="704"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row>
    <row r="705"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row>
    <row r="706"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row>
    <row r="707"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row>
    <row r="708"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row>
    <row r="709"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row>
    <row r="710"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row>
    <row r="711"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row>
    <row r="712"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row>
    <row r="713"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row>
    <row r="714"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row>
    <row r="715"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row>
    <row r="716"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row>
    <row r="717"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row>
    <row r="718"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row>
    <row r="719"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row>
    <row r="720"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row>
    <row r="721"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row>
    <row r="722"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row>
    <row r="723"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row>
    <row r="724"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row>
    <row r="725"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row>
    <row r="726"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row>
    <row r="727"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row>
    <row r="728"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row>
    <row r="729"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row>
    <row r="730"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row>
    <row r="731"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row>
    <row r="732"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row>
    <row r="733"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row>
    <row r="734"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row>
    <row r="735"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row>
    <row r="736"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row>
    <row r="737"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row>
    <row r="738"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row>
    <row r="739"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row>
    <row r="740"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row>
    <row r="741"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row>
    <row r="742"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row>
    <row r="743"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row>
    <row r="744"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row>
    <row r="745"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row>
    <row r="746"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row>
    <row r="747"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row>
    <row r="748"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row>
    <row r="749"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row>
    <row r="750"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row>
    <row r="751"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row>
    <row r="752"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row>
    <row r="753"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row>
    <row r="754"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row>
    <row r="755"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row>
    <row r="756"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row>
    <row r="757"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row>
    <row r="758"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row>
    <row r="759"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row>
    <row r="760"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row>
    <row r="761"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row>
    <row r="762"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row>
    <row r="763"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row>
    <row r="764"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row>
    <row r="765"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row>
    <row r="766"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row>
    <row r="767"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row>
    <row r="768"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row>
    <row r="769"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row>
    <row r="770"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row>
    <row r="771"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row>
    <row r="772"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row>
    <row r="773"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row>
    <row r="774"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row>
    <row r="775"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row>
    <row r="776"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row>
    <row r="777"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row>
    <row r="778"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row>
    <row r="779"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row>
    <row r="780"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row>
    <row r="781"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row>
    <row r="782"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row>
    <row r="783"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row>
    <row r="784"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row>
    <row r="785"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row>
    <row r="786"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row>
    <row r="787"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row>
    <row r="788"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row>
    <row r="789"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row>
    <row r="790"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row>
    <row r="791"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row>
    <row r="792"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row>
    <row r="793"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row>
    <row r="794"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row>
    <row r="795"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row>
    <row r="796"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row>
    <row r="797"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row>
    <row r="798"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row>
    <row r="799"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row>
    <row r="800"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row>
    <row r="801"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row>
    <row r="802"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row>
    <row r="803"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row>
    <row r="804"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row>
    <row r="805"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row>
    <row r="806"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row>
    <row r="807"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row>
    <row r="808"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row>
    <row r="809"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row>
    <row r="810"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row>
    <row r="811"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row>
    <row r="812"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row>
    <row r="813"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row>
    <row r="814"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row>
    <row r="815"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row>
    <row r="816"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row>
    <row r="817"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row>
    <row r="818"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row>
    <row r="819"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row>
    <row r="820"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row>
    <row r="821"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row>
    <row r="822"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row>
    <row r="823"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row>
    <row r="824"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row>
    <row r="825"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row>
    <row r="826"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row>
    <row r="827"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row>
    <row r="828"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row>
    <row r="829"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row>
    <row r="830"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row>
    <row r="831"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row>
    <row r="832"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row>
    <row r="833"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row>
    <row r="834"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row>
    <row r="835"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row>
    <row r="836"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row>
    <row r="837"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row>
    <row r="838"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row>
    <row r="839"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row>
    <row r="840"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row>
    <row r="841"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row>
    <row r="842"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row>
    <row r="843"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row>
    <row r="844"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row>
    <row r="845"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row>
    <row r="846"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row>
    <row r="847"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row>
    <row r="848"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row>
    <row r="849"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row>
    <row r="850"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row>
    <row r="851"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row>
    <row r="852"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row>
    <row r="853"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row>
    <row r="854"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row>
    <row r="855"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row>
    <row r="856"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row>
    <row r="857"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row>
    <row r="858"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row>
    <row r="859"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row>
    <row r="860"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row>
    <row r="861"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row>
    <row r="862"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row>
    <row r="863"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row>
    <row r="864"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row>
    <row r="865"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row>
    <row r="866"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row>
    <row r="867"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row>
    <row r="868"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row>
    <row r="869"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row>
    <row r="870"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row>
    <row r="871"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row>
    <row r="872"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row>
    <row r="873"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row>
    <row r="874"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row>
    <row r="875"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row>
    <row r="876"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row>
    <row r="877"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row>
    <row r="878"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row>
    <row r="879"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row>
    <row r="880"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row>
    <row r="881"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row>
    <row r="882"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row>
    <row r="883"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row>
    <row r="884"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row>
    <row r="885"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row>
    <row r="886"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row>
    <row r="887"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row>
    <row r="888"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row>
    <row r="889"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row>
    <row r="890"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row>
    <row r="891"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row>
    <row r="892"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row>
    <row r="893"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row>
    <row r="894"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row>
    <row r="895"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row>
    <row r="896"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row>
    <row r="897"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row>
    <row r="898"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row>
    <row r="899"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row>
    <row r="900"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row>
    <row r="901"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row>
    <row r="902"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row>
    <row r="903"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row>
    <row r="904"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row>
    <row r="905"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row>
    <row r="906"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row>
    <row r="907"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row>
    <row r="908"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row>
    <row r="909"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row>
    <row r="910"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row>
    <row r="911"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row>
    <row r="912"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row>
    <row r="913"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row>
    <row r="914"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row>
    <row r="915"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row>
    <row r="916"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row>
    <row r="917"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row>
    <row r="918"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row>
    <row r="919"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row>
    <row r="920"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row>
    <row r="921"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row>
    <row r="922"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row>
    <row r="923"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row>
    <row r="924"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row>
    <row r="925"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row>
    <row r="926"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row>
    <row r="927"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row>
    <row r="928"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row>
    <row r="929"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row>
    <row r="930"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row>
    <row r="931"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row>
    <row r="932"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row>
    <row r="933"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row>
    <row r="934"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row>
    <row r="935"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row>
    <row r="936"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row>
    <row r="937"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row>
    <row r="938"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row>
    <row r="939"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row>
    <row r="940"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row>
    <row r="941"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row>
    <row r="942"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row>
    <row r="943"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row>
    <row r="944"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row>
    <row r="945"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row>
    <row r="946"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row>
    <row r="947"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row>
    <row r="948"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row>
    <row r="949"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row>
    <row r="950"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row>
    <row r="951"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row>
    <row r="952"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row>
    <row r="953"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row>
    <row r="954"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row>
    <row r="955"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row>
    <row r="956"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row>
    <row r="957"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row>
    <row r="958"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row>
    <row r="959"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row>
    <row r="960"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row>
    <row r="961"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row>
    <row r="962"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row>
    <row r="963"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row>
    <row r="964"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row>
    <row r="965"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row>
    <row r="966" ht="15.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row>
    <row r="967" ht="15.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row>
    <row r="968" ht="15.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row>
    <row r="969" ht="15.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row>
    <row r="970" ht="15.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row>
    <row r="971" ht="15.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row>
    <row r="972" ht="15.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row>
    <row r="973" ht="15.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row>
    <row r="974" ht="15.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row>
    <row r="975" ht="15.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row>
    <row r="976" ht="15.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row>
    <row r="977" ht="15.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row>
    <row r="978" ht="15.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row>
    <row r="979" ht="15.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row>
    <row r="980" ht="15.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row>
    <row r="981" ht="15.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row>
    <row r="982" ht="15.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row>
    <row r="983" ht="15.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row>
    <row r="984" ht="15.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row>
    <row r="985" ht="15.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row>
    <row r="986" ht="15.7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row>
    <row r="987" ht="15.75"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row>
  </sheetData>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workbookViewId="0"/>
  </sheetViews>
  <sheetFormatPr customHeight="1" defaultColWidth="12.63" defaultRowHeight="15.0"/>
  <cols>
    <col customWidth="1" min="1" max="36" width="11.13"/>
  </cols>
  <sheetData>
    <row r="1" ht="15.75" customHeight="1">
      <c r="A1" s="142" t="s">
        <v>142</v>
      </c>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row>
    <row r="2" ht="15.75" customHeight="1">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row>
    <row r="3" ht="15.75" customHeight="1">
      <c r="A3" s="153"/>
      <c r="B3" s="153">
        <v>2005.0</v>
      </c>
      <c r="C3" s="153">
        <v>2006.0</v>
      </c>
      <c r="D3" s="153">
        <v>2007.0</v>
      </c>
      <c r="E3" s="153">
        <v>2008.0</v>
      </c>
      <c r="F3" s="153">
        <v>2009.0</v>
      </c>
      <c r="G3" s="153">
        <v>2010.0</v>
      </c>
      <c r="H3" s="153">
        <v>2011.0</v>
      </c>
      <c r="I3" s="153">
        <v>2012.0</v>
      </c>
      <c r="J3" s="153">
        <v>2013.0</v>
      </c>
      <c r="K3" s="153">
        <v>2014.0</v>
      </c>
      <c r="L3" s="153">
        <v>2015.0</v>
      </c>
      <c r="M3" s="153">
        <v>2016.0</v>
      </c>
      <c r="N3" s="153">
        <v>2017.0</v>
      </c>
      <c r="O3" s="153">
        <v>2018.0</v>
      </c>
      <c r="P3" s="153">
        <v>2019.0</v>
      </c>
      <c r="Q3" s="153">
        <v>2020.0</v>
      </c>
      <c r="R3" s="153">
        <v>2021.0</v>
      </c>
      <c r="S3" s="153">
        <v>2022.0</v>
      </c>
      <c r="T3" s="153">
        <v>2023.0</v>
      </c>
      <c r="U3" s="153">
        <v>2024.0</v>
      </c>
      <c r="V3" s="153">
        <v>2025.0</v>
      </c>
      <c r="W3" s="24"/>
      <c r="X3" s="24"/>
      <c r="Y3" s="24"/>
      <c r="Z3" s="24"/>
      <c r="AA3" s="24"/>
      <c r="AB3" s="24"/>
      <c r="AC3" s="24"/>
      <c r="AD3" s="24"/>
      <c r="AE3" s="24"/>
      <c r="AF3" s="24"/>
      <c r="AG3" s="24"/>
      <c r="AH3" s="24"/>
      <c r="AI3" s="24"/>
      <c r="AJ3" s="24"/>
    </row>
    <row r="4" ht="15.75" customHeight="1">
      <c r="A4" s="25" t="s">
        <v>42</v>
      </c>
      <c r="B4" s="154">
        <v>29.4</v>
      </c>
      <c r="C4" s="154">
        <v>30.0</v>
      </c>
      <c r="D4" s="154">
        <v>30.5</v>
      </c>
      <c r="E4" s="154">
        <v>30.6</v>
      </c>
      <c r="F4" s="154">
        <v>30.8</v>
      </c>
      <c r="G4" s="154">
        <v>31.1</v>
      </c>
      <c r="H4" s="154">
        <v>31.2</v>
      </c>
      <c r="I4" s="154">
        <v>32.0</v>
      </c>
      <c r="J4" s="154">
        <v>32.6</v>
      </c>
      <c r="K4" s="154">
        <v>33.3</v>
      </c>
      <c r="L4" s="154">
        <v>34.0</v>
      </c>
      <c r="M4" s="154">
        <v>34.5</v>
      </c>
      <c r="N4" s="154">
        <v>35.0</v>
      </c>
      <c r="O4" s="154">
        <v>35.4</v>
      </c>
      <c r="P4" s="154">
        <v>35.8</v>
      </c>
      <c r="Q4" s="154">
        <v>36.4</v>
      </c>
      <c r="R4" s="154">
        <v>37.0</v>
      </c>
      <c r="S4" s="154">
        <v>37.5</v>
      </c>
      <c r="T4" s="154">
        <v>37.8</v>
      </c>
      <c r="U4" s="154">
        <v>38.4</v>
      </c>
      <c r="V4" s="154">
        <v>39.0</v>
      </c>
      <c r="W4" s="24"/>
      <c r="X4" s="24"/>
      <c r="Y4" s="24"/>
      <c r="Z4" s="24"/>
      <c r="AA4" s="24"/>
      <c r="AB4" s="24"/>
      <c r="AC4" s="24"/>
      <c r="AD4" s="24"/>
      <c r="AE4" s="24"/>
      <c r="AF4" s="24"/>
      <c r="AG4" s="24"/>
      <c r="AH4" s="24"/>
      <c r="AI4" s="24"/>
      <c r="AJ4" s="24"/>
    </row>
    <row r="5" ht="15.75" customHeight="1">
      <c r="A5" s="25" t="s">
        <v>43</v>
      </c>
      <c r="B5" s="154">
        <v>28.5</v>
      </c>
      <c r="C5" s="154">
        <v>29.3</v>
      </c>
      <c r="D5" s="154">
        <v>30.0</v>
      </c>
      <c r="E5" s="154">
        <v>30.4</v>
      </c>
      <c r="F5" s="154">
        <v>30.7</v>
      </c>
      <c r="G5" s="154">
        <v>31.1</v>
      </c>
      <c r="H5" s="154">
        <v>31.2</v>
      </c>
      <c r="I5" s="154">
        <v>32.0</v>
      </c>
      <c r="J5" s="154">
        <v>32.6</v>
      </c>
      <c r="K5" s="154">
        <v>33.3</v>
      </c>
      <c r="L5" s="154">
        <v>34.0</v>
      </c>
      <c r="M5" s="154">
        <v>34.5</v>
      </c>
      <c r="N5" s="154">
        <v>35.0</v>
      </c>
      <c r="O5" s="154">
        <v>35.3</v>
      </c>
      <c r="P5" s="154">
        <v>35.6</v>
      </c>
      <c r="Q5" s="154">
        <v>35.9</v>
      </c>
      <c r="R5" s="154">
        <v>35.9</v>
      </c>
      <c r="S5" s="154">
        <v>36.4</v>
      </c>
      <c r="T5" s="154">
        <v>36.5</v>
      </c>
      <c r="U5" s="154">
        <v>36.8</v>
      </c>
      <c r="V5" s="154">
        <v>37.3</v>
      </c>
      <c r="W5" s="24"/>
      <c r="X5" s="24"/>
      <c r="Y5" s="24"/>
      <c r="Z5" s="24"/>
      <c r="AA5" s="24"/>
      <c r="AB5" s="24"/>
      <c r="AC5" s="24"/>
      <c r="AD5" s="24"/>
      <c r="AE5" s="24"/>
      <c r="AF5" s="24"/>
      <c r="AG5" s="24"/>
      <c r="AH5" s="24"/>
      <c r="AI5" s="24"/>
      <c r="AJ5" s="24"/>
    </row>
    <row r="6" ht="15.75" customHeight="1">
      <c r="A6" s="25" t="s">
        <v>44</v>
      </c>
      <c r="B6" s="154">
        <v>25.9</v>
      </c>
      <c r="C6" s="154">
        <v>26.6</v>
      </c>
      <c r="D6" s="154">
        <v>27.2</v>
      </c>
      <c r="E6" s="154">
        <v>27.6</v>
      </c>
      <c r="F6" s="154">
        <v>27.9</v>
      </c>
      <c r="G6" s="154">
        <v>28.3</v>
      </c>
      <c r="H6" s="154">
        <v>28.4</v>
      </c>
      <c r="I6" s="154">
        <v>29.2</v>
      </c>
      <c r="J6" s="154">
        <v>29.9</v>
      </c>
      <c r="K6" s="154">
        <v>30.7</v>
      </c>
      <c r="L6" s="154">
        <v>31.5</v>
      </c>
      <c r="M6" s="154">
        <v>32.2</v>
      </c>
      <c r="N6" s="154">
        <v>32.8</v>
      </c>
      <c r="O6" s="154">
        <v>33.3</v>
      </c>
      <c r="P6" s="154">
        <v>33.6</v>
      </c>
      <c r="Q6" s="154">
        <v>34.1</v>
      </c>
      <c r="R6" s="154">
        <v>34.1</v>
      </c>
      <c r="S6" s="154">
        <v>34.6</v>
      </c>
      <c r="T6" s="154">
        <v>35.0</v>
      </c>
      <c r="U6" s="154">
        <v>35.5</v>
      </c>
      <c r="V6" s="154">
        <v>36.0</v>
      </c>
      <c r="W6" s="24"/>
      <c r="X6" s="24"/>
      <c r="Y6" s="24"/>
      <c r="Z6" s="24"/>
      <c r="AA6" s="24"/>
      <c r="AB6" s="24"/>
      <c r="AC6" s="24"/>
      <c r="AD6" s="24"/>
      <c r="AE6" s="24"/>
      <c r="AF6" s="24"/>
      <c r="AG6" s="24"/>
      <c r="AH6" s="24"/>
      <c r="AI6" s="24"/>
      <c r="AJ6" s="24"/>
    </row>
    <row r="7" ht="15.75" customHeight="1">
      <c r="A7" s="24" t="s">
        <v>45</v>
      </c>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row>
    <row r="8" ht="15.75" customHeight="1">
      <c r="A8" s="24" t="s">
        <v>143</v>
      </c>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row>
    <row r="9" ht="15.75" customHeight="1">
      <c r="A9" s="24"/>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row>
    <row r="10" ht="15.75" customHeight="1">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row>
    <row r="11" ht="15.75" customHeight="1">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row>
    <row r="12" ht="15.75" customHeight="1">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row>
    <row r="13" ht="15.75" customHeight="1">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row>
    <row r="14" ht="15.75" customHeight="1">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row>
    <row r="15" ht="15.75" customHeight="1">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row>
    <row r="16" ht="15.75" customHeight="1">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row>
    <row r="17" ht="15.75" customHeight="1">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row>
    <row r="18" ht="15.75" customHeight="1">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row>
    <row r="19" ht="15.75" customHeight="1">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row>
    <row r="20" ht="15.75" customHeight="1">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row>
    <row r="21" ht="15.75" customHeight="1">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row>
    <row r="22" ht="15.7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row>
    <row r="23" ht="15.7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row>
    <row r="24" ht="15.75" customHeight="1">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row>
    <row r="25"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row>
    <row r="26"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row>
    <row r="27"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row>
    <row r="28"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row>
    <row r="29"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row>
    <row r="30"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row>
    <row r="31"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row>
    <row r="32"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row>
    <row r="33"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row>
    <row r="34"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row>
    <row r="35"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row>
    <row r="36"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row>
    <row r="37"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row>
    <row r="38"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row>
    <row r="3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row>
    <row r="40"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row>
    <row r="41"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row>
    <row r="42"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row>
    <row r="43"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row>
    <row r="44"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row>
    <row r="45"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row>
    <row r="46"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row>
    <row r="47"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row>
    <row r="4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row>
    <row r="4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row>
    <row r="50"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row>
    <row r="51"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row>
    <row r="52"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row>
    <row r="53"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row>
    <row r="54"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row>
    <row r="55"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row>
    <row r="56"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row>
    <row r="57"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row>
    <row r="5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row>
    <row r="5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row>
    <row r="60"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row>
    <row r="61"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row>
    <row r="62"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row>
    <row r="63"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row>
    <row r="64"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row>
    <row r="65"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row>
    <row r="66"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row>
    <row r="67"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row>
    <row r="6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row>
    <row r="6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row>
    <row r="70"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row>
    <row r="71"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row>
    <row r="72"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row>
    <row r="73"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row>
    <row r="74"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row>
    <row r="75"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row>
    <row r="76"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row>
    <row r="77"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row>
    <row r="7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row>
    <row r="7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row>
    <row r="80"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row>
    <row r="81"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row>
    <row r="82"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row>
    <row r="83"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row>
    <row r="84"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row>
    <row r="85"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row>
    <row r="86"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row>
    <row r="87"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row>
    <row r="8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row>
    <row r="8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row>
    <row r="90"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row>
    <row r="91"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row>
    <row r="92"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row>
    <row r="93"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row>
    <row r="94"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row>
    <row r="95"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row>
    <row r="96"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row>
    <row r="97"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row>
    <row r="9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row>
    <row r="9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row>
    <row r="100"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row>
    <row r="101"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row>
    <row r="102"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row>
    <row r="103"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row>
    <row r="104"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row>
    <row r="105"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row>
    <row r="106"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row>
    <row r="107"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row>
    <row r="10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row>
    <row r="10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row>
    <row r="110"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row>
    <row r="111"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row>
    <row r="112"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row>
    <row r="113"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row>
    <row r="114"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row>
    <row r="115"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row>
    <row r="116"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row>
    <row r="117"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row>
    <row r="11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row>
    <row r="11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row>
    <row r="120"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row>
    <row r="121"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row>
    <row r="122"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row>
    <row r="123"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row>
    <row r="124"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row>
    <row r="125"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row>
    <row r="126"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row>
    <row r="127"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row>
    <row r="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row>
    <row r="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row>
    <row r="130"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row>
    <row r="131"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row>
    <row r="132"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row>
    <row r="133"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row>
    <row r="134"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row>
    <row r="135"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row>
    <row r="136"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row>
    <row r="137"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row>
    <row r="13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row>
    <row r="13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row>
    <row r="140"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row>
    <row r="141"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row>
    <row r="142"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row>
    <row r="143"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row>
    <row r="144"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row>
    <row r="145"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row>
    <row r="146"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row>
    <row r="147"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row>
    <row r="14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row>
    <row r="14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row>
    <row r="150"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row>
    <row r="151"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row>
    <row r="152"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row>
    <row r="153"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row>
    <row r="154"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row>
    <row r="155"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row>
    <row r="156"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row>
    <row r="157"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row>
    <row r="15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row>
    <row r="15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row>
    <row r="160"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row>
    <row r="161"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row>
    <row r="162"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row>
    <row r="163"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row>
    <row r="164"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row>
    <row r="165"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row>
    <row r="166"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row>
    <row r="167"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row>
    <row r="16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row>
    <row r="16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row>
    <row r="170"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row>
    <row r="171"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row>
    <row r="172"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row>
    <row r="173"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row>
    <row r="174"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row>
    <row r="175"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row>
    <row r="176"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row>
    <row r="177"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row>
    <row r="17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row>
    <row r="17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row>
    <row r="180"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row>
    <row r="181"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row>
    <row r="182"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row>
    <row r="183"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row>
    <row r="184"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row>
    <row r="185"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row>
    <row r="186"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row>
    <row r="187"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row>
    <row r="18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row>
    <row r="18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row>
    <row r="190"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row>
    <row r="191"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row>
    <row r="192"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row>
    <row r="193"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row>
    <row r="194"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row>
    <row r="195"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row>
    <row r="196"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row>
    <row r="197"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row>
    <row r="198"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row>
    <row r="199"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row>
    <row r="200"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row>
    <row r="201"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row>
    <row r="202"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row>
    <row r="203"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row>
    <row r="204"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row>
    <row r="205"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row>
    <row r="206"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row>
    <row r="207"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row>
    <row r="208"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row>
    <row r="209"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row>
    <row r="210"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row>
    <row r="211"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row>
    <row r="212"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row>
    <row r="213"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row>
    <row r="214"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row>
    <row r="215"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row>
    <row r="216"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row>
    <row r="217"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row>
    <row r="218"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row>
    <row r="219"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row>
    <row r="220"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row>
    <row r="221"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row>
    <row r="222"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row>
    <row r="223"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row>
    <row r="224"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row>
    <row r="225"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row>
    <row r="226"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row>
    <row r="227"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row>
    <row r="228"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row>
    <row r="229"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row>
    <row r="230"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row>
    <row r="231"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row>
    <row r="232"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row>
    <row r="233"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row>
    <row r="234"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row>
    <row r="235"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row>
    <row r="236"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row>
    <row r="237"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row>
    <row r="238"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row>
    <row r="239"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row>
    <row r="240"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row>
    <row r="241"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row>
    <row r="242"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row>
    <row r="243"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row>
    <row r="244"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row>
    <row r="245"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row>
    <row r="246"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row>
    <row r="247"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row>
    <row r="248"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row>
    <row r="249"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row>
    <row r="250"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row>
    <row r="251"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row>
    <row r="252"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row>
    <row r="253"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row>
    <row r="254"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row>
    <row r="255"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row>
    <row r="256"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row>
    <row r="257"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row>
    <row r="258"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row>
    <row r="259"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row>
    <row r="260"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row>
    <row r="261"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row>
    <row r="262"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row>
    <row r="263"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row>
    <row r="264"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row>
    <row r="265"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row>
    <row r="266"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row>
    <row r="267"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row>
    <row r="268"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row>
    <row r="269"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row>
    <row r="270"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row>
    <row r="271"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row>
    <row r="272"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row>
    <row r="273"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row>
    <row r="274"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row>
    <row r="275"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row>
    <row r="276"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row>
    <row r="277"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row>
    <row r="278"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row>
    <row r="279"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row>
    <row r="280"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row>
    <row r="281"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row>
    <row r="282"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row>
    <row r="283"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row>
    <row r="284"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row>
    <row r="285"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row>
    <row r="286"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row>
    <row r="287"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row>
    <row r="288"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row>
    <row r="289"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row>
    <row r="290"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row>
    <row r="291"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row>
    <row r="292"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row>
    <row r="293"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row>
    <row r="294"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row>
    <row r="295"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row>
    <row r="296"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row>
    <row r="297"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row>
    <row r="298"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row>
    <row r="299"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row>
    <row r="300"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row>
    <row r="301"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row>
    <row r="302"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row>
    <row r="303"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row>
    <row r="304"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row>
    <row r="305"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row>
    <row r="306"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row>
    <row r="307"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row>
    <row r="308"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row>
    <row r="309"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row>
    <row r="310"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row>
    <row r="311"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row>
    <row r="312"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row>
    <row r="313"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row>
    <row r="314"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row>
    <row r="315"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row>
    <row r="316"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row>
    <row r="317"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row>
    <row r="318"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row>
    <row r="319"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row>
    <row r="320"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row>
    <row r="321"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row>
    <row r="322"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row>
    <row r="323"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row>
    <row r="324"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row>
    <row r="325"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row>
    <row r="326"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row>
    <row r="327"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row>
    <row r="328"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row>
    <row r="329"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row>
    <row r="330"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row>
    <row r="331"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row>
    <row r="332"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row>
    <row r="333"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row>
    <row r="334"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row>
    <row r="335"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row>
    <row r="336"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row>
    <row r="337"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row>
    <row r="338"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row>
    <row r="339"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row>
    <row r="340"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row>
    <row r="341"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row>
    <row r="342"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row>
    <row r="343"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row>
    <row r="344"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row>
    <row r="345"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row>
    <row r="346"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row>
    <row r="347"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row>
    <row r="348"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row>
    <row r="349"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row>
    <row r="350"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row>
    <row r="351"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row>
    <row r="352"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row>
    <row r="353"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row>
    <row r="354"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row>
    <row r="355"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row>
    <row r="356"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row>
    <row r="357"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row>
    <row r="358"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row>
    <row r="359"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row>
    <row r="360"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row>
    <row r="361"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row>
    <row r="362"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row>
    <row r="363"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row>
    <row r="364"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row>
    <row r="365"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row>
    <row r="366"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row>
    <row r="367"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row>
    <row r="368"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row>
    <row r="369"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row>
    <row r="370"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row>
    <row r="371"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row>
    <row r="372"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row>
    <row r="373"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row>
    <row r="374"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row>
    <row r="375"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row>
    <row r="376"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row>
    <row r="377"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row>
    <row r="378"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row>
    <row r="379"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row>
    <row r="380"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row>
    <row r="381"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row>
    <row r="382"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row>
    <row r="383"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row>
    <row r="384"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row>
    <row r="385"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row>
    <row r="386"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row>
    <row r="387"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row>
    <row r="388"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row>
    <row r="389"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row>
    <row r="390"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row>
    <row r="391"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row>
    <row r="392"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row>
    <row r="393"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row>
    <row r="394"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row>
    <row r="395"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row>
    <row r="396"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row>
    <row r="397"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row>
    <row r="398"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row>
    <row r="399"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row>
    <row r="400"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row>
    <row r="401"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row>
    <row r="402"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row>
    <row r="403"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row>
    <row r="404"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row>
    <row r="405"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row>
    <row r="406"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row>
    <row r="407"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row>
    <row r="408"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row>
    <row r="409"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row>
    <row r="410"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row>
    <row r="411"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row>
    <row r="412"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row>
    <row r="413"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row>
    <row r="414"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row>
    <row r="415"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row>
    <row r="416"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row>
    <row r="417"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row>
    <row r="418"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row>
    <row r="419"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row>
    <row r="420"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row>
    <row r="421"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row>
    <row r="422"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row>
    <row r="423"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row>
    <row r="424"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row>
    <row r="425"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row>
    <row r="426"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row>
    <row r="427"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row>
    <row r="428"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row>
    <row r="429"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row>
    <row r="430"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row>
    <row r="431"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row>
    <row r="432"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row>
    <row r="433"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row>
    <row r="434"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row>
    <row r="435"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row>
    <row r="436"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row>
    <row r="437"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row>
    <row r="438"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row>
    <row r="439"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row>
    <row r="440"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row>
    <row r="441"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row>
    <row r="442"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row>
    <row r="443"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row>
    <row r="444"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row>
    <row r="445"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row>
    <row r="446"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row>
    <row r="447"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row>
    <row r="448"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row>
    <row r="449"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row>
    <row r="450"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row>
    <row r="451"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row>
    <row r="452"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row>
    <row r="453"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row>
    <row r="454"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row>
    <row r="455"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row>
    <row r="456"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row>
    <row r="457"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row>
    <row r="458"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row>
    <row r="459"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row>
    <row r="460"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row>
    <row r="461"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row>
    <row r="462"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row>
    <row r="463"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row>
    <row r="464"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row>
    <row r="465"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row>
    <row r="466"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row>
    <row r="467"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row>
    <row r="468"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row>
    <row r="469"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row>
    <row r="470"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row>
    <row r="471"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row>
    <row r="472"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row>
    <row r="473"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row>
    <row r="474"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row>
    <row r="475"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row>
    <row r="476"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row>
    <row r="477"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row>
    <row r="478"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row>
    <row r="479"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row>
    <row r="480"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row>
    <row r="481"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row>
    <row r="482"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row>
    <row r="483"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row>
    <row r="484"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row>
    <row r="485"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row>
    <row r="486"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row>
    <row r="487"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row>
    <row r="488"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row>
    <row r="489"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row>
    <row r="490"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row>
    <row r="491"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row>
    <row r="492"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row>
    <row r="493"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row>
    <row r="494"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row>
    <row r="495"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row>
    <row r="496"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row>
    <row r="497"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row>
    <row r="498"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row>
    <row r="499"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row>
    <row r="500"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row>
    <row r="501"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row>
    <row r="502"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row>
    <row r="503"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row>
    <row r="504"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row>
    <row r="505"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row>
    <row r="506"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row>
    <row r="507"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row>
    <row r="508"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row>
    <row r="509"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row>
    <row r="510"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row>
    <row r="511"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row>
    <row r="512"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row>
    <row r="513"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row>
    <row r="514"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row>
    <row r="515"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row>
    <row r="516"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row>
    <row r="517"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row>
    <row r="518"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row>
    <row r="519"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row>
    <row r="520"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row>
    <row r="521"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row>
    <row r="522"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row>
    <row r="523"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row>
    <row r="524"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row>
    <row r="525"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row>
    <row r="526"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row>
    <row r="527"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row>
    <row r="528"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row>
    <row r="529"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row>
    <row r="530"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row>
    <row r="531"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row>
    <row r="532"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row>
    <row r="533"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row>
    <row r="534"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row>
    <row r="535"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row>
    <row r="536"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row>
    <row r="537"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row>
    <row r="538"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row>
    <row r="539"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row>
    <row r="540"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row>
    <row r="541"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row>
    <row r="542"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row>
    <row r="543"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row>
    <row r="544"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row>
    <row r="545"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row>
    <row r="546"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row>
    <row r="547"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row>
    <row r="548"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row>
    <row r="549"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row>
    <row r="550"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row>
    <row r="551"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row>
    <row r="552"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row>
    <row r="553"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row>
    <row r="554"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row>
    <row r="555"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row>
    <row r="556"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row>
    <row r="557"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row>
    <row r="558"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row>
    <row r="559"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row>
    <row r="560"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row>
    <row r="561"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row>
    <row r="562"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row>
    <row r="563"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row>
    <row r="564"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row>
    <row r="565"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row>
    <row r="566"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row>
    <row r="567"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row>
    <row r="568"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row>
    <row r="569"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row>
    <row r="570"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row>
    <row r="571"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row>
    <row r="572"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row>
    <row r="573"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row>
    <row r="574"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row>
    <row r="575"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row>
    <row r="576"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row>
    <row r="577"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row>
    <row r="578"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row>
    <row r="579"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row>
    <row r="580"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row>
    <row r="581"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row>
    <row r="582"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row>
    <row r="583"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row>
    <row r="584"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row>
    <row r="585"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row>
    <row r="586"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row>
    <row r="587"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row>
    <row r="588"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row>
    <row r="589"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row>
    <row r="590"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row>
    <row r="591"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row>
    <row r="592"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row>
    <row r="593"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row>
    <row r="594"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row>
    <row r="595"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row>
    <row r="596"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row>
    <row r="597"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row>
    <row r="598"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row>
    <row r="599"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row>
    <row r="600"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row>
    <row r="601"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row>
    <row r="602"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row>
    <row r="603"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row>
    <row r="604"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row>
    <row r="605"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row>
    <row r="606"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row>
    <row r="607"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row>
    <row r="608"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row>
    <row r="609"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row>
    <row r="610"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row>
    <row r="611"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row>
    <row r="612"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row>
    <row r="613"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row>
    <row r="614"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row>
    <row r="615"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row>
    <row r="616"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row>
    <row r="617"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row>
    <row r="618"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row>
    <row r="619"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row>
    <row r="620"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row>
    <row r="621"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row>
    <row r="622"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row>
    <row r="623"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row>
    <row r="624"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row>
    <row r="625"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row>
    <row r="626"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row>
    <row r="627"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row>
    <row r="628"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row>
    <row r="629"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row>
    <row r="630"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row>
    <row r="631"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row>
    <row r="632"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row>
    <row r="633"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row>
    <row r="634"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row>
    <row r="635"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row>
    <row r="636"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row>
    <row r="637"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row>
    <row r="638"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row>
    <row r="639"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row>
    <row r="640"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row>
    <row r="641"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row>
    <row r="642"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row>
    <row r="643"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row>
    <row r="644"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row>
    <row r="645"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row>
    <row r="646"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row>
    <row r="647"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row>
    <row r="648"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row>
    <row r="649"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row>
    <row r="650"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row>
    <row r="651"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row>
    <row r="652"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row>
    <row r="653"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row>
    <row r="654"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row>
    <row r="655"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row>
    <row r="656"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row>
    <row r="657"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row>
    <row r="658"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row>
    <row r="659"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row>
    <row r="660"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row>
    <row r="661"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row>
    <row r="662"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row>
    <row r="663"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row>
    <row r="664"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row>
    <row r="665"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row>
    <row r="666"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row>
    <row r="667"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row>
    <row r="668"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row>
    <row r="669"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row>
    <row r="670"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row>
    <row r="671"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row>
    <row r="672"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row>
    <row r="673"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row>
    <row r="674"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row>
    <row r="675"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row>
    <row r="676"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row>
    <row r="677"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row>
    <row r="678"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row>
    <row r="679"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row>
    <row r="680"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row>
    <row r="681"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row>
    <row r="682"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row>
    <row r="683"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row>
    <row r="684"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row>
    <row r="685"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row>
    <row r="686"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row>
    <row r="687"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row>
    <row r="688"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row>
    <row r="689"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row>
    <row r="690"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row>
    <row r="691"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row>
    <row r="692"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row>
    <row r="693"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row>
    <row r="694"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row>
    <row r="695"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row>
    <row r="696"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row>
    <row r="697"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row>
    <row r="698"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row>
    <row r="699"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row>
    <row r="700"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row>
    <row r="701"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row>
    <row r="702"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row>
    <row r="703"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row>
    <row r="704"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row>
    <row r="705"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row>
    <row r="706"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row>
    <row r="707"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row>
    <row r="708"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row>
    <row r="709"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row>
    <row r="710"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row>
    <row r="711"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row>
    <row r="712"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row>
    <row r="713"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row>
    <row r="714"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row>
    <row r="715"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row>
    <row r="716"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row>
    <row r="717"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row>
    <row r="718"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row>
    <row r="719"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row>
    <row r="720"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row>
    <row r="721"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row>
    <row r="722"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row>
    <row r="723"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row>
    <row r="724"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row>
    <row r="725"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row>
    <row r="726"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row>
    <row r="727"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row>
    <row r="728"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row>
    <row r="729"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row>
    <row r="730"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row>
    <row r="731"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row>
    <row r="732"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row>
    <row r="733"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row>
    <row r="734"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row>
    <row r="735"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row>
    <row r="736"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row>
    <row r="737"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row>
    <row r="738"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row>
    <row r="739"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row>
    <row r="740"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row>
    <row r="741"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row>
    <row r="742"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row>
    <row r="743"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row>
    <row r="744"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row>
    <row r="745"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row>
    <row r="746"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row>
    <row r="747"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row>
    <row r="748"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row>
    <row r="749"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row>
    <row r="750"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row>
    <row r="751"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row>
    <row r="752"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row>
    <row r="753"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row>
    <row r="754"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row>
    <row r="755"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row>
    <row r="756"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row>
    <row r="757"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row>
    <row r="758"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row>
    <row r="759"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row>
    <row r="760"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row>
    <row r="761"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row>
    <row r="762"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row>
    <row r="763"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row>
    <row r="764"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row>
    <row r="765"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row>
    <row r="766"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row>
    <row r="767"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row>
    <row r="768"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row>
    <row r="769"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row>
    <row r="770"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row>
    <row r="771"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row>
    <row r="772"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row>
    <row r="773"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row>
    <row r="774"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row>
    <row r="775"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row>
    <row r="776"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row>
    <row r="777"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row>
    <row r="778"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row>
    <row r="779"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row>
    <row r="780"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row>
    <row r="781"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row>
    <row r="782"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row>
    <row r="783"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row>
    <row r="784"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row>
    <row r="785"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row>
    <row r="786"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row>
    <row r="787"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row>
    <row r="788"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row>
    <row r="789"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row>
    <row r="790"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row>
    <row r="791"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row>
    <row r="792"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row>
    <row r="793"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row>
    <row r="794"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row>
    <row r="795"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row>
    <row r="796"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row>
    <row r="797"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row>
    <row r="798"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row>
    <row r="799"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row>
    <row r="800"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row>
    <row r="801"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row>
    <row r="802"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row>
    <row r="803"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row>
    <row r="804"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row>
    <row r="805"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row>
    <row r="806"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row>
    <row r="807"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row>
    <row r="808"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row>
    <row r="809"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row>
    <row r="810"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row>
    <row r="811"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row>
    <row r="812"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row>
    <row r="813"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row>
    <row r="814"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row>
    <row r="815"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row>
    <row r="816"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row>
    <row r="817"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row>
    <row r="818"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row>
    <row r="819"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row>
    <row r="820"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row>
    <row r="821"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row>
    <row r="822"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row>
    <row r="823"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row>
    <row r="824"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row>
    <row r="825"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row>
    <row r="826"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row>
    <row r="827"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row>
    <row r="828"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row>
    <row r="829"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row>
    <row r="830"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row>
    <row r="831"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row>
    <row r="832"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row>
    <row r="833"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row>
    <row r="834"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row>
    <row r="835"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row>
    <row r="836"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row>
    <row r="837"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row>
    <row r="838"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row>
    <row r="839"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row>
    <row r="840"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row>
    <row r="841"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row>
    <row r="842"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row>
    <row r="843"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row>
    <row r="844"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row>
    <row r="845"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row>
    <row r="846"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row>
    <row r="847"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row>
    <row r="848"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row>
    <row r="849"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row>
    <row r="850"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row>
    <row r="851"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row>
    <row r="852"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row>
    <row r="853"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row>
    <row r="854"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row>
    <row r="855"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row>
    <row r="856"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row>
    <row r="857"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row>
    <row r="858"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row>
    <row r="859"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row>
    <row r="860"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row>
    <row r="861"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row>
    <row r="862"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row>
    <row r="863"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row>
    <row r="864"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row>
    <row r="865"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row>
    <row r="866"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row>
    <row r="867"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row>
    <row r="868"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row>
    <row r="869"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row>
    <row r="870"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row>
    <row r="871"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row>
    <row r="872"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row>
    <row r="873"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row>
    <row r="874"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row>
    <row r="875"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row>
    <row r="876"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row>
    <row r="877"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row>
    <row r="878"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row>
    <row r="879"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row>
    <row r="880"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row>
    <row r="881"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row>
    <row r="882"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row>
    <row r="883"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row>
    <row r="884"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row>
    <row r="885"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row>
    <row r="886"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row>
    <row r="887"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row>
    <row r="888"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row>
    <row r="889"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row>
    <row r="890"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row>
    <row r="891"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row>
    <row r="892"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row>
    <row r="893"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row>
    <row r="894"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row>
    <row r="895"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row>
    <row r="896"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row>
    <row r="897"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row>
    <row r="898"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row>
    <row r="899"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row>
    <row r="900"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row>
    <row r="901"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row>
    <row r="902"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row>
    <row r="903"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row>
    <row r="904"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row>
    <row r="905"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row>
    <row r="906"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row>
    <row r="907"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row>
    <row r="908"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row>
    <row r="909"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row>
    <row r="910"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row>
    <row r="911"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row>
    <row r="912"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row>
    <row r="913"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row>
    <row r="914"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row>
    <row r="915"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row>
    <row r="916"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row>
    <row r="917"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row>
    <row r="918"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row>
    <row r="919"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row>
    <row r="920"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row>
    <row r="921"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row>
    <row r="922"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row>
    <row r="923"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row>
    <row r="924"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row>
    <row r="925"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row>
    <row r="926"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row>
    <row r="927"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row>
    <row r="928"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row>
    <row r="929"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row>
    <row r="930"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row>
    <row r="931"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row>
    <row r="932"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row>
    <row r="933"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row>
    <row r="934"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row>
    <row r="935"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row>
    <row r="936"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row>
    <row r="937"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row>
    <row r="938"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row>
    <row r="939"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row>
    <row r="940"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row>
    <row r="941"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row>
    <row r="942"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row>
    <row r="943"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row>
    <row r="944"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row>
    <row r="945"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row>
    <row r="946"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row>
    <row r="947"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row>
    <row r="948"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row>
    <row r="949"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row>
    <row r="950"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row>
    <row r="951"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row>
    <row r="952"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row>
    <row r="953"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row>
    <row r="954"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row>
    <row r="955"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row>
    <row r="956"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row>
    <row r="957"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row>
    <row r="958"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row>
    <row r="959"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row>
    <row r="960"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row>
    <row r="961"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row>
    <row r="962"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row>
    <row r="963"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row>
    <row r="964"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row>
    <row r="965"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row>
    <row r="966" ht="15.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row>
    <row r="967" ht="15.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row>
    <row r="968" ht="15.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row>
    <row r="969" ht="15.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row>
    <row r="970" ht="15.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row>
    <row r="971" ht="15.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row>
    <row r="972" ht="15.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row>
    <row r="973" ht="15.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row>
    <row r="974" ht="15.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row>
    <row r="975" ht="15.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row>
    <row r="976" ht="15.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row>
    <row r="977" ht="15.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row>
    <row r="978" ht="15.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row>
    <row r="979" ht="15.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row>
    <row r="980" ht="15.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row>
    <row r="981" ht="15.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row>
    <row r="982" ht="15.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row>
    <row r="983" ht="15.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row>
    <row r="984" ht="15.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row>
    <row r="985" ht="15.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row>
    <row r="986" ht="15.7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row>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workbookViewId="0"/>
  </sheetViews>
  <sheetFormatPr customHeight="1" defaultColWidth="12.63" defaultRowHeight="15.0"/>
  <cols>
    <col customWidth="1" min="1" max="1" width="11.13"/>
    <col customWidth="1" min="2" max="2" width="11.63"/>
    <col customWidth="1" min="3" max="3" width="11.13"/>
    <col customWidth="1" min="4" max="4" width="11.63"/>
    <col customWidth="1" min="5" max="29" width="11.13"/>
  </cols>
  <sheetData>
    <row r="1" ht="15.75" customHeight="1">
      <c r="A1" s="24" t="s">
        <v>41</v>
      </c>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row>
    <row r="2" ht="15.75" customHeight="1">
      <c r="A2" s="24"/>
      <c r="B2" s="25">
        <v>2005.0</v>
      </c>
      <c r="C2" s="25">
        <v>2006.0</v>
      </c>
      <c r="D2" s="25">
        <v>2007.0</v>
      </c>
      <c r="E2" s="25">
        <v>2008.0</v>
      </c>
      <c r="F2" s="25">
        <v>2009.0</v>
      </c>
      <c r="G2" s="25">
        <v>2010.0</v>
      </c>
      <c r="H2" s="25">
        <v>2011.0</v>
      </c>
      <c r="I2" s="25">
        <v>2012.0</v>
      </c>
      <c r="J2" s="25">
        <v>2013.0</v>
      </c>
      <c r="K2" s="25">
        <v>2014.0</v>
      </c>
      <c r="L2" s="25">
        <v>2015.0</v>
      </c>
      <c r="M2" s="25">
        <v>2016.0</v>
      </c>
      <c r="N2" s="25">
        <v>2017.0</v>
      </c>
      <c r="O2" s="25">
        <v>2018.0</v>
      </c>
      <c r="P2" s="25">
        <v>2019.0</v>
      </c>
      <c r="Q2" s="25">
        <v>2020.0</v>
      </c>
      <c r="R2" s="25">
        <v>2021.0</v>
      </c>
      <c r="S2" s="25">
        <v>2022.0</v>
      </c>
      <c r="T2" s="25">
        <v>2023.0</v>
      </c>
      <c r="U2" s="25">
        <v>2024.0</v>
      </c>
      <c r="V2" s="25">
        <v>2025.0</v>
      </c>
      <c r="W2" s="24"/>
      <c r="X2" s="24"/>
      <c r="Y2" s="24"/>
      <c r="Z2" s="24"/>
      <c r="AA2" s="24"/>
      <c r="AB2" s="24"/>
      <c r="AC2" s="24"/>
    </row>
    <row r="3" ht="15.75" customHeight="1">
      <c r="A3" s="26" t="s">
        <v>42</v>
      </c>
      <c r="B3" s="27">
        <v>5.8044368E7</v>
      </c>
      <c r="C3" s="27">
        <v>5.8288996E7</v>
      </c>
      <c r="D3" s="27">
        <v>5.8510725E7</v>
      </c>
      <c r="E3" s="27">
        <v>5.9001769E7</v>
      </c>
      <c r="F3" s="27">
        <v>5.9420592E7</v>
      </c>
      <c r="G3" s="27">
        <v>5.9690316E7</v>
      </c>
      <c r="H3" s="27">
        <v>5.9948497E7</v>
      </c>
      <c r="I3" s="27">
        <v>6.0105185E7</v>
      </c>
      <c r="J3" s="27">
        <v>6.0277309E7</v>
      </c>
      <c r="K3" s="27">
        <v>6.0345917E7</v>
      </c>
      <c r="L3" s="27">
        <v>6.0295497E7</v>
      </c>
      <c r="M3" s="27">
        <v>6.0163712E7</v>
      </c>
      <c r="N3" s="27">
        <v>6.0066734E7</v>
      </c>
      <c r="O3" s="27">
        <v>5.9937769E7</v>
      </c>
      <c r="P3" s="28">
        <v>5.9816673E7</v>
      </c>
      <c r="Q3" s="28">
        <v>5.9641488E7</v>
      </c>
      <c r="R3" s="28">
        <v>5.9236213E7</v>
      </c>
      <c r="S3" s="28">
        <v>5.8983122E7</v>
      </c>
      <c r="T3" s="27">
        <v>5.8997201E7</v>
      </c>
      <c r="U3" s="29">
        <v>5.8989749E7</v>
      </c>
      <c r="V3" s="29">
        <v>5.8934177E7</v>
      </c>
      <c r="W3" s="24"/>
      <c r="X3" s="24"/>
      <c r="Y3" s="24"/>
      <c r="Z3" s="24"/>
      <c r="AA3" s="24"/>
      <c r="AB3" s="24"/>
      <c r="AC3" s="24"/>
    </row>
    <row r="4" ht="15.75" customHeight="1">
      <c r="A4" s="26" t="s">
        <v>43</v>
      </c>
      <c r="B4" s="27">
        <v>9299835.0</v>
      </c>
      <c r="C4" s="27">
        <v>9370827.0</v>
      </c>
      <c r="D4" s="27">
        <v>9431541.0</v>
      </c>
      <c r="E4" s="27">
        <v>9517477.0</v>
      </c>
      <c r="F4" s="27">
        <v>9603804.0</v>
      </c>
      <c r="G4" s="27">
        <v>9670614.0</v>
      </c>
      <c r="H4" s="27">
        <v>9746113.0</v>
      </c>
      <c r="I4" s="27">
        <v>9811011.0</v>
      </c>
      <c r="J4" s="27">
        <v>9877541.0</v>
      </c>
      <c r="K4" s="27">
        <v>9929769.0</v>
      </c>
      <c r="L4" s="27">
        <v>9954769.0</v>
      </c>
      <c r="M4" s="27">
        <v>9958447.0</v>
      </c>
      <c r="N4" s="27">
        <v>9970419.0</v>
      </c>
      <c r="O4" s="27">
        <v>9986962.0</v>
      </c>
      <c r="P4" s="28">
        <v>1.0010833E7</v>
      </c>
      <c r="Q4" s="28">
        <v>1.0027602E7</v>
      </c>
      <c r="R4" s="28">
        <v>9981554.0</v>
      </c>
      <c r="S4" s="28">
        <v>9943004.0</v>
      </c>
      <c r="T4" s="27">
        <v>9976509.0</v>
      </c>
      <c r="U4" s="27">
        <v>1.0012054E7</v>
      </c>
      <c r="V4" s="27">
        <v>1.0035481E7</v>
      </c>
      <c r="W4" s="24"/>
      <c r="X4" s="24"/>
      <c r="Y4" s="24"/>
      <c r="Z4" s="24"/>
      <c r="AA4" s="24"/>
      <c r="AB4" s="24"/>
      <c r="AC4" s="24"/>
    </row>
    <row r="5" ht="15.75" customHeight="1">
      <c r="A5" s="26" t="s">
        <v>44</v>
      </c>
      <c r="B5" s="27">
        <v>1163506.0</v>
      </c>
      <c r="C5" s="27">
        <v>1177290.0</v>
      </c>
      <c r="D5" s="27">
        <v>1189408.0</v>
      </c>
      <c r="E5" s="27">
        <v>1204416.0</v>
      </c>
      <c r="F5" s="27">
        <v>1220795.0</v>
      </c>
      <c r="G5" s="27">
        <v>1230529.0</v>
      </c>
      <c r="H5" s="27">
        <v>1241188.0</v>
      </c>
      <c r="I5" s="27">
        <v>1247357.0</v>
      </c>
      <c r="J5" s="27">
        <v>1253581.0</v>
      </c>
      <c r="K5" s="27">
        <v>1255637.0</v>
      </c>
      <c r="L5" s="27">
        <v>1255890.0</v>
      </c>
      <c r="M5" s="27">
        <v>1253852.0</v>
      </c>
      <c r="N5" s="27">
        <v>1251873.0</v>
      </c>
      <c r="O5" s="27">
        <v>1251306.0</v>
      </c>
      <c r="P5" s="28">
        <v>1254419.0</v>
      </c>
      <c r="Q5" s="28">
        <v>1255437.0</v>
      </c>
      <c r="R5" s="28">
        <v>1255709.0</v>
      </c>
      <c r="S5" s="28">
        <v>1253157.0</v>
      </c>
      <c r="T5" s="27">
        <v>1257326.0</v>
      </c>
      <c r="U5" s="27">
        <v>1260955.0</v>
      </c>
      <c r="V5" s="27">
        <v>1266138.0</v>
      </c>
      <c r="W5" s="24"/>
      <c r="X5" s="24"/>
      <c r="Y5" s="24"/>
      <c r="Z5" s="24"/>
      <c r="AA5" s="24"/>
      <c r="AB5" s="24"/>
      <c r="AC5" s="24"/>
    </row>
    <row r="6" ht="15.75" customHeight="1">
      <c r="A6" s="24" t="s">
        <v>45</v>
      </c>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row>
    <row r="7" ht="15.75" customHeight="1">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row>
    <row r="8" ht="15.75" customHeight="1">
      <c r="A8" s="24" t="s">
        <v>46</v>
      </c>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row>
    <row r="9" ht="15.75" customHeight="1">
      <c r="A9" s="24"/>
      <c r="B9" s="30">
        <v>2019.0</v>
      </c>
      <c r="C9" s="7"/>
      <c r="D9" s="31">
        <v>2020.0</v>
      </c>
      <c r="E9" s="7"/>
      <c r="F9" s="31">
        <v>2021.0</v>
      </c>
      <c r="G9" s="7"/>
      <c r="H9" s="31">
        <v>2022.0</v>
      </c>
      <c r="I9" s="7"/>
      <c r="J9" s="31">
        <v>2023.0</v>
      </c>
      <c r="K9" s="7"/>
      <c r="L9" s="31">
        <v>2024.0</v>
      </c>
      <c r="M9" s="7"/>
      <c r="N9" s="31">
        <v>2025.0</v>
      </c>
      <c r="O9" s="7"/>
      <c r="P9" s="24"/>
      <c r="Q9" s="24"/>
      <c r="R9" s="24"/>
      <c r="S9" s="24"/>
      <c r="T9" s="24"/>
      <c r="U9" s="24"/>
      <c r="V9" s="24"/>
      <c r="W9" s="24"/>
      <c r="X9" s="24"/>
      <c r="Y9" s="24"/>
      <c r="Z9" s="24"/>
      <c r="AA9" s="24"/>
      <c r="AB9" s="24"/>
      <c r="AC9" s="24"/>
    </row>
    <row r="10" ht="62.25" customHeight="1">
      <c r="A10" s="24"/>
      <c r="B10" s="25" t="s">
        <v>47</v>
      </c>
      <c r="C10" s="32" t="s">
        <v>48</v>
      </c>
      <c r="D10" s="32" t="s">
        <v>47</v>
      </c>
      <c r="E10" s="32" t="s">
        <v>48</v>
      </c>
      <c r="F10" s="32" t="s">
        <v>47</v>
      </c>
      <c r="G10" s="32" t="s">
        <v>48</v>
      </c>
      <c r="H10" s="32" t="s">
        <v>47</v>
      </c>
      <c r="I10" s="32" t="s">
        <v>48</v>
      </c>
      <c r="J10" s="32" t="s">
        <v>47</v>
      </c>
      <c r="K10" s="32" t="s">
        <v>48</v>
      </c>
      <c r="L10" s="32" t="s">
        <v>47</v>
      </c>
      <c r="M10" s="32" t="s">
        <v>48</v>
      </c>
      <c r="N10" s="32" t="s">
        <v>47</v>
      </c>
      <c r="O10" s="32" t="s">
        <v>48</v>
      </c>
      <c r="P10" s="24"/>
      <c r="Q10" s="24"/>
      <c r="R10" s="24"/>
      <c r="S10" s="24"/>
      <c r="T10" s="24"/>
      <c r="U10" s="24"/>
      <c r="V10" s="24"/>
      <c r="W10" s="24"/>
      <c r="X10" s="24"/>
      <c r="Y10" s="24"/>
      <c r="Z10" s="24"/>
      <c r="AA10" s="24"/>
      <c r="AB10" s="24"/>
      <c r="AC10" s="24"/>
    </row>
    <row r="11" ht="15.75" customHeight="1">
      <c r="A11" s="26" t="s">
        <v>42</v>
      </c>
      <c r="B11" s="28">
        <v>5.9816673E7</v>
      </c>
      <c r="C11" s="33">
        <v>1.0</v>
      </c>
      <c r="D11" s="28">
        <v>5.9641488E7</v>
      </c>
      <c r="E11" s="33">
        <v>1.0</v>
      </c>
      <c r="F11" s="28">
        <v>5.9236213E7</v>
      </c>
      <c r="G11" s="33">
        <v>1.0</v>
      </c>
      <c r="H11" s="28">
        <v>5.8983122E7</v>
      </c>
      <c r="I11" s="33">
        <v>1.0</v>
      </c>
      <c r="J11" s="27">
        <v>5.8997201E7</v>
      </c>
      <c r="K11" s="33">
        <v>1.0</v>
      </c>
      <c r="L11" s="34">
        <v>5.8989749E7</v>
      </c>
      <c r="M11" s="33">
        <v>1.0</v>
      </c>
      <c r="N11" s="34">
        <v>5.8934177E7</v>
      </c>
      <c r="O11" s="33">
        <v>1.0</v>
      </c>
      <c r="P11" s="24"/>
      <c r="Q11" s="24"/>
      <c r="R11" s="24"/>
      <c r="S11" s="24"/>
      <c r="T11" s="24"/>
      <c r="U11" s="24"/>
      <c r="V11" s="24"/>
      <c r="W11" s="24"/>
      <c r="X11" s="24"/>
      <c r="Y11" s="24"/>
      <c r="Z11" s="24"/>
      <c r="AA11" s="24"/>
      <c r="AB11" s="24"/>
      <c r="AC11" s="24"/>
    </row>
    <row r="12" ht="15.75" customHeight="1">
      <c r="A12" s="26" t="s">
        <v>43</v>
      </c>
      <c r="B12" s="28">
        <v>1.0010833E7</v>
      </c>
      <c r="C12" s="35">
        <f t="shared" ref="C12:C13" si="1">B12/$B$11</f>
        <v>0.1673585724</v>
      </c>
      <c r="D12" s="28">
        <v>1.0027602E7</v>
      </c>
      <c r="E12" s="35">
        <f t="shared" ref="E12:E13" si="2">D12/$D$11</f>
        <v>0.1681313183</v>
      </c>
      <c r="F12" s="28">
        <v>9981554.0</v>
      </c>
      <c r="G12" s="35">
        <f t="shared" ref="G12:G13" si="3">F12/$F$11</f>
        <v>0.168504256</v>
      </c>
      <c r="H12" s="28">
        <v>9943004.0</v>
      </c>
      <c r="I12" s="35">
        <f>H12/H11</f>
        <v>0.168573715</v>
      </c>
      <c r="J12" s="27">
        <v>9976509.0</v>
      </c>
      <c r="K12" s="35">
        <f>J12/J11</f>
        <v>0.1691013952</v>
      </c>
      <c r="L12" s="27">
        <v>1.0012054E7</v>
      </c>
      <c r="M12" s="35">
        <f>L12/L11</f>
        <v>0.1697253196</v>
      </c>
      <c r="N12" s="27">
        <v>1.0035481E7</v>
      </c>
      <c r="O12" s="35">
        <f>N12/N11</f>
        <v>0.1702828734</v>
      </c>
      <c r="P12" s="24"/>
      <c r="Q12" s="24"/>
      <c r="R12" s="24"/>
      <c r="S12" s="24"/>
      <c r="T12" s="24"/>
      <c r="U12" s="24"/>
      <c r="V12" s="24"/>
      <c r="W12" s="24"/>
      <c r="X12" s="24"/>
      <c r="Y12" s="24"/>
      <c r="Z12" s="24"/>
      <c r="AA12" s="24"/>
      <c r="AB12" s="24"/>
      <c r="AC12" s="24"/>
    </row>
    <row r="13" ht="15.75" customHeight="1">
      <c r="A13" s="26" t="s">
        <v>44</v>
      </c>
      <c r="B13" s="28">
        <v>1254419.0</v>
      </c>
      <c r="C13" s="35">
        <f t="shared" si="1"/>
        <v>0.02097105936</v>
      </c>
      <c r="D13" s="28">
        <v>1255437.0</v>
      </c>
      <c r="E13" s="35">
        <f t="shared" si="2"/>
        <v>0.02104972632</v>
      </c>
      <c r="F13" s="28">
        <v>1255709.0</v>
      </c>
      <c r="G13" s="35">
        <f t="shared" si="3"/>
        <v>0.02119833353</v>
      </c>
      <c r="H13" s="28">
        <v>1253157.0</v>
      </c>
      <c r="I13" s="35">
        <f>H13/H11</f>
        <v>0.02124602696</v>
      </c>
      <c r="J13" s="27">
        <v>1257326.0</v>
      </c>
      <c r="K13" s="35">
        <f>J13/J11</f>
        <v>0.02131162121</v>
      </c>
      <c r="L13" s="27">
        <v>1260955.0</v>
      </c>
      <c r="M13" s="35">
        <f>L13/L11</f>
        <v>0.0213758326</v>
      </c>
      <c r="N13" s="27">
        <v>1266138.0</v>
      </c>
      <c r="O13" s="35">
        <f>N13/N11</f>
        <v>0.02148393453</v>
      </c>
      <c r="P13" s="24"/>
      <c r="Q13" s="24"/>
      <c r="R13" s="24"/>
      <c r="S13" s="24"/>
      <c r="T13" s="24"/>
      <c r="U13" s="24"/>
      <c r="V13" s="24"/>
      <c r="W13" s="24"/>
      <c r="X13" s="24"/>
      <c r="Y13" s="24"/>
      <c r="Z13" s="24"/>
      <c r="AA13" s="24"/>
      <c r="AB13" s="24"/>
      <c r="AC13" s="24"/>
    </row>
    <row r="14" ht="15.75" customHeight="1">
      <c r="A14" s="24" t="s">
        <v>49</v>
      </c>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row>
    <row r="15" ht="15.75" customHeight="1">
      <c r="A15" s="24" t="s">
        <v>50</v>
      </c>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row>
    <row r="16" ht="15.75" customHeight="1">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row>
    <row r="17" ht="15.75" customHeight="1">
      <c r="A17" s="24" t="s">
        <v>51</v>
      </c>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row>
    <row r="18" ht="15.75" customHeight="1">
      <c r="A18" s="24"/>
      <c r="B18" s="31">
        <v>2019.0</v>
      </c>
      <c r="C18" s="6"/>
      <c r="D18" s="6"/>
      <c r="E18" s="7"/>
      <c r="F18" s="31">
        <v>2020.0</v>
      </c>
      <c r="G18" s="6"/>
      <c r="H18" s="6"/>
      <c r="I18" s="7"/>
      <c r="J18" s="31">
        <v>2021.0</v>
      </c>
      <c r="K18" s="6"/>
      <c r="L18" s="6"/>
      <c r="M18" s="7"/>
      <c r="N18" s="31">
        <v>2022.0</v>
      </c>
      <c r="O18" s="6"/>
      <c r="P18" s="6"/>
      <c r="Q18" s="7"/>
      <c r="R18" s="31">
        <v>2023.0</v>
      </c>
      <c r="S18" s="6"/>
      <c r="T18" s="6"/>
      <c r="U18" s="7"/>
      <c r="V18" s="31">
        <v>2024.0</v>
      </c>
      <c r="W18" s="6"/>
      <c r="X18" s="6"/>
      <c r="Y18" s="7"/>
      <c r="Z18" s="31">
        <v>2025.0</v>
      </c>
      <c r="AA18" s="6"/>
      <c r="AB18" s="6"/>
      <c r="AC18" s="7"/>
    </row>
    <row r="19" ht="15.75" customHeight="1">
      <c r="A19" s="24"/>
      <c r="B19" s="36" t="s">
        <v>52</v>
      </c>
      <c r="C19" s="10"/>
      <c r="D19" s="37" t="s">
        <v>53</v>
      </c>
      <c r="E19" s="10"/>
      <c r="F19" s="30" t="s">
        <v>52</v>
      </c>
      <c r="G19" s="7"/>
      <c r="H19" s="30" t="s">
        <v>53</v>
      </c>
      <c r="I19" s="7"/>
      <c r="J19" s="30" t="s">
        <v>52</v>
      </c>
      <c r="K19" s="7"/>
      <c r="L19" s="30" t="s">
        <v>53</v>
      </c>
      <c r="M19" s="7"/>
      <c r="N19" s="30" t="s">
        <v>52</v>
      </c>
      <c r="O19" s="7"/>
      <c r="P19" s="30" t="s">
        <v>53</v>
      </c>
      <c r="Q19" s="7"/>
      <c r="R19" s="30" t="s">
        <v>52</v>
      </c>
      <c r="S19" s="7"/>
      <c r="T19" s="30" t="s">
        <v>53</v>
      </c>
      <c r="U19" s="7"/>
      <c r="V19" s="30" t="s">
        <v>52</v>
      </c>
      <c r="W19" s="7"/>
      <c r="X19" s="30" t="s">
        <v>53</v>
      </c>
      <c r="Y19" s="7"/>
      <c r="Z19" s="30" t="s">
        <v>52</v>
      </c>
      <c r="AA19" s="7"/>
      <c r="AB19" s="30" t="s">
        <v>53</v>
      </c>
      <c r="AC19" s="7"/>
    </row>
    <row r="20" ht="15.75" customHeight="1">
      <c r="A20" s="24"/>
      <c r="B20" s="38" t="s">
        <v>47</v>
      </c>
      <c r="C20" s="39" t="s">
        <v>54</v>
      </c>
      <c r="D20" s="39" t="s">
        <v>47</v>
      </c>
      <c r="E20" s="39" t="s">
        <v>54</v>
      </c>
      <c r="F20" s="32" t="s">
        <v>47</v>
      </c>
      <c r="G20" s="32" t="s">
        <v>54</v>
      </c>
      <c r="H20" s="32" t="s">
        <v>47</v>
      </c>
      <c r="I20" s="32" t="s">
        <v>54</v>
      </c>
      <c r="J20" s="32" t="s">
        <v>47</v>
      </c>
      <c r="K20" s="32" t="s">
        <v>54</v>
      </c>
      <c r="L20" s="32" t="s">
        <v>47</v>
      </c>
      <c r="M20" s="32" t="s">
        <v>54</v>
      </c>
      <c r="N20" s="32" t="s">
        <v>47</v>
      </c>
      <c r="O20" s="32" t="s">
        <v>54</v>
      </c>
      <c r="P20" s="32" t="s">
        <v>47</v>
      </c>
      <c r="Q20" s="32" t="s">
        <v>54</v>
      </c>
      <c r="R20" s="32" t="s">
        <v>47</v>
      </c>
      <c r="S20" s="32" t="s">
        <v>54</v>
      </c>
      <c r="T20" s="32" t="s">
        <v>47</v>
      </c>
      <c r="U20" s="32" t="s">
        <v>54</v>
      </c>
      <c r="V20" s="32" t="s">
        <v>47</v>
      </c>
      <c r="W20" s="32" t="s">
        <v>54</v>
      </c>
      <c r="X20" s="32" t="s">
        <v>47</v>
      </c>
      <c r="Y20" s="32" t="s">
        <v>54</v>
      </c>
      <c r="Z20" s="32" t="s">
        <v>47</v>
      </c>
      <c r="AA20" s="32" t="s">
        <v>54</v>
      </c>
      <c r="AB20" s="32" t="s">
        <v>47</v>
      </c>
      <c r="AC20" s="32" t="s">
        <v>54</v>
      </c>
    </row>
    <row r="21" ht="15.75" customHeight="1">
      <c r="A21" s="26" t="s">
        <v>42</v>
      </c>
      <c r="B21" s="40">
        <v>2.9131195E7</v>
      </c>
      <c r="C21" s="41">
        <f t="shared" ref="C21:C23" si="4">B21/B11</f>
        <v>0.4870079451</v>
      </c>
      <c r="D21" s="42">
        <v>3.0685478E7</v>
      </c>
      <c r="E21" s="41">
        <f t="shared" ref="E21:E23" si="5">D21/B11</f>
        <v>0.5129920549</v>
      </c>
      <c r="F21" s="28">
        <v>2.9050096E7</v>
      </c>
      <c r="G21" s="41">
        <f t="shared" ref="G21:G23" si="6">F21/D11</f>
        <v>0.4870786591</v>
      </c>
      <c r="H21" s="28">
        <v>3.0591392E7</v>
      </c>
      <c r="I21" s="41">
        <f t="shared" ref="I21:I23" si="7">H21/D11</f>
        <v>0.5129213409</v>
      </c>
      <c r="J21" s="28">
        <v>2.8866226E7</v>
      </c>
      <c r="K21" s="41">
        <f t="shared" ref="K21:K23" si="8">J21/F11</f>
        <v>0.4873070802</v>
      </c>
      <c r="L21" s="28">
        <v>3.0369987E7</v>
      </c>
      <c r="M21" s="41">
        <f t="shared" ref="M21:M23" si="9">L21/F11</f>
        <v>0.5126929198</v>
      </c>
      <c r="N21" s="28">
        <v>2.8747417E7</v>
      </c>
      <c r="O21" s="41">
        <f t="shared" ref="O21:O23" si="10">N21/H11</f>
        <v>0.4873837807</v>
      </c>
      <c r="P21" s="28">
        <v>3.0235705E7</v>
      </c>
      <c r="Q21" s="41">
        <f t="shared" ref="Q21:Q23" si="11">P21/H11</f>
        <v>0.5126162193</v>
      </c>
      <c r="R21" s="28">
        <v>2.8814832E7</v>
      </c>
      <c r="S21" s="41">
        <f t="shared" ref="S21:S23" si="12">R21/J11</f>
        <v>0.4884101536</v>
      </c>
      <c r="T21" s="28">
        <v>3.0182369E7</v>
      </c>
      <c r="U21" s="41">
        <f t="shared" ref="U21:U23" si="13">T21/J11</f>
        <v>0.5115898464</v>
      </c>
      <c r="V21" s="28">
        <v>2.8851041E7</v>
      </c>
      <c r="W21" s="41">
        <f t="shared" ref="W21:W23" si="14">V21/L11</f>
        <v>0.4890856715</v>
      </c>
      <c r="X21" s="28">
        <v>3.0138708E7</v>
      </c>
      <c r="Y21" s="41">
        <f t="shared" ref="Y21:Y23" si="15">X21/L11</f>
        <v>0.5109143285</v>
      </c>
      <c r="Z21" s="28">
        <v>2.8876799E7</v>
      </c>
      <c r="AA21" s="41">
        <f t="shared" ref="AA21:AA23" si="16">Z21/N11</f>
        <v>0.4899839188</v>
      </c>
      <c r="AB21" s="28">
        <v>3.0057378E7</v>
      </c>
      <c r="AC21" s="41">
        <f t="shared" ref="AC21:AC23" si="17">AB21/N11</f>
        <v>0.5100160812</v>
      </c>
    </row>
    <row r="22" ht="15.75" customHeight="1">
      <c r="A22" s="26" t="s">
        <v>43</v>
      </c>
      <c r="B22" s="40">
        <v>4902201.0</v>
      </c>
      <c r="C22" s="41">
        <f t="shared" si="4"/>
        <v>0.4896896192</v>
      </c>
      <c r="D22" s="42">
        <v>5108632.0</v>
      </c>
      <c r="E22" s="41">
        <f t="shared" si="5"/>
        <v>0.5103103808</v>
      </c>
      <c r="F22" s="28">
        <v>4912375.0</v>
      </c>
      <c r="G22" s="41">
        <f t="shared" si="6"/>
        <v>0.4898853185</v>
      </c>
      <c r="H22" s="28">
        <v>5115227.0</v>
      </c>
      <c r="I22" s="41">
        <f t="shared" si="7"/>
        <v>0.5101146815</v>
      </c>
      <c r="J22" s="28">
        <v>4895446.0</v>
      </c>
      <c r="K22" s="41">
        <f t="shared" si="8"/>
        <v>0.4904492827</v>
      </c>
      <c r="L22" s="28">
        <v>5086108.0</v>
      </c>
      <c r="M22" s="41">
        <f t="shared" si="9"/>
        <v>0.5095507173</v>
      </c>
      <c r="N22" s="28">
        <v>4881528.0</v>
      </c>
      <c r="O22" s="41">
        <f t="shared" si="10"/>
        <v>0.4909510245</v>
      </c>
      <c r="P22" s="28">
        <v>5061476.0</v>
      </c>
      <c r="Q22" s="41">
        <f t="shared" si="11"/>
        <v>0.5090489755</v>
      </c>
      <c r="R22" s="28">
        <v>4900520.0</v>
      </c>
      <c r="S22" s="41">
        <f t="shared" si="12"/>
        <v>0.4912058918</v>
      </c>
      <c r="T22" s="28">
        <v>5075989.0</v>
      </c>
      <c r="U22" s="41">
        <f t="shared" si="13"/>
        <v>0.5087941082</v>
      </c>
      <c r="V22" s="28">
        <v>4927003.0</v>
      </c>
      <c r="W22" s="41">
        <f t="shared" si="14"/>
        <v>0.4921071141</v>
      </c>
      <c r="X22" s="28">
        <v>5085051.0</v>
      </c>
      <c r="Y22" s="41">
        <f t="shared" si="15"/>
        <v>0.5078928859</v>
      </c>
      <c r="Z22" s="28">
        <v>4946391.0</v>
      </c>
      <c r="AA22" s="41">
        <f t="shared" si="16"/>
        <v>0.492890276</v>
      </c>
      <c r="AB22" s="28">
        <v>5089090.0</v>
      </c>
      <c r="AC22" s="41">
        <f t="shared" si="17"/>
        <v>0.507109724</v>
      </c>
    </row>
    <row r="23" ht="15.75" customHeight="1">
      <c r="A23" s="26" t="s">
        <v>44</v>
      </c>
      <c r="B23" s="40">
        <v>618924.0</v>
      </c>
      <c r="C23" s="41">
        <f t="shared" si="4"/>
        <v>0.4933949502</v>
      </c>
      <c r="D23" s="42">
        <v>635495.0</v>
      </c>
      <c r="E23" s="41">
        <f t="shared" si="5"/>
        <v>0.5066050498</v>
      </c>
      <c r="F23" s="28">
        <v>619811.0</v>
      </c>
      <c r="G23" s="41">
        <f t="shared" si="6"/>
        <v>0.4937013964</v>
      </c>
      <c r="H23" s="28">
        <v>635626.0</v>
      </c>
      <c r="I23" s="41">
        <f t="shared" si="7"/>
        <v>0.5062986036</v>
      </c>
      <c r="J23" s="28">
        <v>621517.0</v>
      </c>
      <c r="K23" s="41">
        <f t="shared" si="8"/>
        <v>0.4949530504</v>
      </c>
      <c r="L23" s="28">
        <v>634192.0</v>
      </c>
      <c r="M23" s="41">
        <f t="shared" si="9"/>
        <v>0.5050469496</v>
      </c>
      <c r="N23" s="28">
        <v>620830.0</v>
      </c>
      <c r="O23" s="41">
        <f t="shared" si="10"/>
        <v>0.4954127855</v>
      </c>
      <c r="P23" s="28">
        <v>632327.0</v>
      </c>
      <c r="Q23" s="41">
        <f t="shared" si="11"/>
        <v>0.5045872145</v>
      </c>
      <c r="R23" s="28">
        <v>623202.0</v>
      </c>
      <c r="S23" s="41">
        <f t="shared" si="12"/>
        <v>0.4956566555</v>
      </c>
      <c r="T23" s="28">
        <v>634124.0</v>
      </c>
      <c r="U23" s="41">
        <f t="shared" si="13"/>
        <v>0.5043433445</v>
      </c>
      <c r="V23" s="28">
        <v>625870.0</v>
      </c>
      <c r="W23" s="41">
        <f t="shared" si="14"/>
        <v>0.4963460235</v>
      </c>
      <c r="X23" s="28">
        <v>635085.0</v>
      </c>
      <c r="Y23" s="41">
        <f t="shared" si="15"/>
        <v>0.5036539765</v>
      </c>
      <c r="Z23" s="28">
        <v>629599.0</v>
      </c>
      <c r="AA23" s="41">
        <f t="shared" si="16"/>
        <v>0.4972593825</v>
      </c>
      <c r="AB23" s="28">
        <v>636539.0</v>
      </c>
      <c r="AC23" s="41">
        <f t="shared" si="17"/>
        <v>0.5027406175</v>
      </c>
    </row>
    <row r="24" ht="15.75" customHeight="1">
      <c r="A24" s="24" t="s">
        <v>45</v>
      </c>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row>
    <row r="25" ht="15.75" customHeight="1">
      <c r="A25" s="24" t="s">
        <v>50</v>
      </c>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row>
    <row r="26"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row>
    <row r="27"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row>
    <row r="28" ht="15.75" customHeight="1">
      <c r="A28" s="24" t="s">
        <v>55</v>
      </c>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row>
    <row r="29" ht="15.75" customHeight="1">
      <c r="A29" s="24"/>
      <c r="B29" s="31">
        <v>2025.0</v>
      </c>
      <c r="C29" s="7"/>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row>
    <row r="30" ht="15.75" customHeight="1">
      <c r="A30" s="24"/>
      <c r="B30" s="25" t="s">
        <v>56</v>
      </c>
      <c r="C30" s="25" t="s">
        <v>57</v>
      </c>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row>
    <row r="31" ht="15.75" customHeight="1">
      <c r="A31" s="30" t="s">
        <v>58</v>
      </c>
      <c r="B31" s="43">
        <v>26014.0</v>
      </c>
      <c r="C31" s="33">
        <f t="shared" ref="C31:C42" si="18">B31/$B$42</f>
        <v>0.02054594365</v>
      </c>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row>
    <row r="32" ht="15.75" customHeight="1">
      <c r="A32" s="44" t="s">
        <v>59</v>
      </c>
      <c r="B32" s="43">
        <v>28366.0</v>
      </c>
      <c r="C32" s="33">
        <f t="shared" si="18"/>
        <v>0.02240356107</v>
      </c>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row>
    <row r="33" ht="15.75" customHeight="1">
      <c r="A33" s="44" t="s">
        <v>60</v>
      </c>
      <c r="B33" s="43">
        <v>66678.0</v>
      </c>
      <c r="C33" s="33">
        <f t="shared" si="18"/>
        <v>0.05266250598</v>
      </c>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ht="15.75" customHeight="1">
      <c r="A34" s="44" t="s">
        <v>61</v>
      </c>
      <c r="B34" s="43">
        <v>78342.0</v>
      </c>
      <c r="C34" s="33">
        <f t="shared" si="18"/>
        <v>0.06187477194</v>
      </c>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ht="15.75" customHeight="1">
      <c r="A35" s="44" t="s">
        <v>62</v>
      </c>
      <c r="B35" s="43">
        <v>92829.0</v>
      </c>
      <c r="C35" s="33">
        <f t="shared" si="18"/>
        <v>0.07331665269</v>
      </c>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ht="15.75" customHeight="1">
      <c r="A36" s="44" t="s">
        <v>63</v>
      </c>
      <c r="B36" s="43">
        <v>136439.0</v>
      </c>
      <c r="C36" s="33">
        <f t="shared" si="18"/>
        <v>0.1077599756</v>
      </c>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ht="15.75" customHeight="1">
      <c r="A37" s="44" t="s">
        <v>64</v>
      </c>
      <c r="B37" s="43">
        <v>152032.0</v>
      </c>
      <c r="C37" s="33">
        <f t="shared" si="18"/>
        <v>0.1200753788</v>
      </c>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ht="15.75" customHeight="1">
      <c r="A38" s="44" t="s">
        <v>65</v>
      </c>
      <c r="B38" s="43">
        <v>196064.0</v>
      </c>
      <c r="C38" s="33">
        <f t="shared" si="18"/>
        <v>0.1548519988</v>
      </c>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ht="15.75" customHeight="1">
      <c r="A39" s="44" t="s">
        <v>66</v>
      </c>
      <c r="B39" s="43">
        <v>196063.0</v>
      </c>
      <c r="C39" s="33">
        <f t="shared" si="18"/>
        <v>0.154851209</v>
      </c>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ht="15.75" customHeight="1">
      <c r="A40" s="44" t="s">
        <v>67</v>
      </c>
      <c r="B40" s="43">
        <v>140883.0</v>
      </c>
      <c r="C40" s="33">
        <f t="shared" si="18"/>
        <v>0.1112698616</v>
      </c>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ht="15.75" customHeight="1">
      <c r="A41" s="44" t="s">
        <v>68</v>
      </c>
      <c r="B41" s="43">
        <v>152428.0</v>
      </c>
      <c r="C41" s="33">
        <f t="shared" si="18"/>
        <v>0.1203881409</v>
      </c>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ht="15.75" customHeight="1">
      <c r="A42" s="44" t="s">
        <v>69</v>
      </c>
      <c r="B42" s="45">
        <v>1266138.0</v>
      </c>
      <c r="C42" s="33">
        <f t="shared" si="18"/>
        <v>1</v>
      </c>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ht="15.75" customHeight="1">
      <c r="A45" s="24" t="s">
        <v>70</v>
      </c>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ht="15.75" customHeight="1">
      <c r="A47" s="24"/>
      <c r="B47" s="31">
        <v>2002.0</v>
      </c>
      <c r="C47" s="7"/>
      <c r="D47" s="31">
        <v>2005.0</v>
      </c>
      <c r="E47" s="7"/>
      <c r="F47" s="31">
        <v>2009.0</v>
      </c>
      <c r="G47" s="7"/>
      <c r="H47" s="31">
        <v>2019.0</v>
      </c>
      <c r="I47" s="7"/>
      <c r="J47" s="24"/>
      <c r="K47" s="24"/>
      <c r="L47" s="24"/>
      <c r="M47" s="24"/>
      <c r="N47" s="24"/>
      <c r="O47" s="24"/>
      <c r="P47" s="24"/>
      <c r="Q47" s="24"/>
      <c r="R47" s="24"/>
      <c r="S47" s="24"/>
      <c r="T47" s="24"/>
      <c r="U47" s="24"/>
      <c r="V47" s="24"/>
      <c r="W47" s="24"/>
      <c r="X47" s="24"/>
      <c r="Y47" s="24"/>
      <c r="Z47" s="24"/>
      <c r="AA47" s="24"/>
      <c r="AB47" s="24"/>
      <c r="AC47" s="24"/>
    </row>
    <row r="48" ht="15.75" customHeight="1">
      <c r="A48" s="24"/>
      <c r="B48" s="25" t="s">
        <v>56</v>
      </c>
      <c r="C48" s="25" t="s">
        <v>57</v>
      </c>
      <c r="D48" s="25" t="s">
        <v>56</v>
      </c>
      <c r="E48" s="25" t="s">
        <v>57</v>
      </c>
      <c r="F48" s="46" t="s">
        <v>56</v>
      </c>
      <c r="G48" s="46" t="s">
        <v>57</v>
      </c>
      <c r="H48" s="46" t="s">
        <v>56</v>
      </c>
      <c r="I48" s="46" t="s">
        <v>57</v>
      </c>
      <c r="J48" s="24"/>
      <c r="K48" s="24"/>
      <c r="L48" s="24"/>
      <c r="M48" s="24"/>
      <c r="N48" s="24"/>
      <c r="O48" s="24"/>
      <c r="P48" s="24"/>
      <c r="Q48" s="24"/>
      <c r="R48" s="24"/>
      <c r="S48" s="24"/>
      <c r="T48" s="24"/>
      <c r="U48" s="24"/>
      <c r="V48" s="24"/>
      <c r="W48" s="24"/>
      <c r="X48" s="24"/>
      <c r="Y48" s="24"/>
      <c r="Z48" s="24"/>
      <c r="AA48" s="24"/>
      <c r="AB48" s="24"/>
      <c r="AC48" s="24"/>
    </row>
    <row r="49" ht="15.75" customHeight="1">
      <c r="A49" s="30" t="s">
        <v>58</v>
      </c>
      <c r="B49" s="47">
        <v>29955.0</v>
      </c>
      <c r="C49" s="33">
        <f t="shared" ref="C49:C60" si="19">B49/$B$60</f>
        <v>0.02826244685</v>
      </c>
      <c r="D49" s="47">
        <v>29814.0</v>
      </c>
      <c r="E49" s="33">
        <f t="shared" ref="E49:E60" si="20">D49/$D$60</f>
        <v>0.02787678636</v>
      </c>
      <c r="F49" s="43">
        <v>29707.0</v>
      </c>
      <c r="G49" s="33">
        <f t="shared" ref="G49:G60" si="21">F49/$F$60</f>
        <v>0.02751295212</v>
      </c>
      <c r="H49" s="43">
        <v>23339.0</v>
      </c>
      <c r="I49" s="33">
        <f t="shared" ref="I49:I60" si="22">H49/$H$60</f>
        <v>0.02116165605</v>
      </c>
      <c r="J49" s="24"/>
      <c r="K49" s="24"/>
      <c r="L49" s="24"/>
      <c r="M49" s="24"/>
      <c r="N49" s="24"/>
      <c r="O49" s="24"/>
      <c r="P49" s="24"/>
      <c r="Q49" s="24"/>
      <c r="R49" s="24"/>
      <c r="S49" s="24"/>
      <c r="T49" s="24"/>
      <c r="U49" s="24"/>
      <c r="V49" s="24"/>
      <c r="W49" s="24"/>
      <c r="X49" s="24"/>
      <c r="Y49" s="24"/>
      <c r="Z49" s="24"/>
      <c r="AA49" s="24"/>
      <c r="AB49" s="24"/>
      <c r="AC49" s="24"/>
    </row>
    <row r="50" ht="15.75" customHeight="1">
      <c r="A50" s="44" t="s">
        <v>59</v>
      </c>
      <c r="B50" s="47">
        <v>29385.0</v>
      </c>
      <c r="C50" s="33">
        <f t="shared" si="19"/>
        <v>0.02772465367</v>
      </c>
      <c r="D50" s="47">
        <v>30586.0</v>
      </c>
      <c r="E50" s="33">
        <f t="shared" si="20"/>
        <v>0.02859862439</v>
      </c>
      <c r="F50" s="43">
        <v>29910.0</v>
      </c>
      <c r="G50" s="33">
        <f t="shared" si="21"/>
        <v>0.0277009593</v>
      </c>
      <c r="H50" s="43">
        <v>26379.0</v>
      </c>
      <c r="I50" s="33">
        <f t="shared" si="22"/>
        <v>0.02391804811</v>
      </c>
      <c r="J50" s="24"/>
      <c r="K50" s="24"/>
      <c r="L50" s="24"/>
      <c r="M50" s="24"/>
      <c r="N50" s="24"/>
      <c r="O50" s="24"/>
      <c r="P50" s="24"/>
      <c r="Q50" s="24"/>
      <c r="R50" s="24"/>
      <c r="S50" s="24"/>
      <c r="T50" s="24"/>
      <c r="U50" s="24"/>
      <c r="V50" s="24"/>
      <c r="W50" s="24"/>
      <c r="X50" s="24"/>
      <c r="Y50" s="24"/>
      <c r="Z50" s="24"/>
      <c r="AA50" s="24"/>
      <c r="AB50" s="24"/>
      <c r="AC50" s="24"/>
    </row>
    <row r="51" ht="15.75" customHeight="1">
      <c r="A51" s="44" t="s">
        <v>60</v>
      </c>
      <c r="B51" s="47">
        <v>57864.0</v>
      </c>
      <c r="C51" s="33">
        <f t="shared" si="19"/>
        <v>0.05459449922</v>
      </c>
      <c r="D51" s="47">
        <v>58922.0</v>
      </c>
      <c r="E51" s="33">
        <f t="shared" si="20"/>
        <v>0.05509344623</v>
      </c>
      <c r="F51" s="43">
        <v>61324.0</v>
      </c>
      <c r="G51" s="33">
        <f t="shared" si="21"/>
        <v>0.05679483879</v>
      </c>
      <c r="H51" s="43">
        <v>62784.0</v>
      </c>
      <c r="I51" s="33">
        <f t="shared" si="22"/>
        <v>0.05692674979</v>
      </c>
      <c r="J51" s="24"/>
      <c r="K51" s="24"/>
      <c r="L51" s="24"/>
      <c r="M51" s="24"/>
      <c r="N51" s="24"/>
      <c r="O51" s="24"/>
      <c r="P51" s="24"/>
      <c r="Q51" s="24"/>
      <c r="R51" s="24"/>
      <c r="S51" s="24"/>
      <c r="T51" s="24"/>
      <c r="U51" s="24"/>
      <c r="V51" s="24"/>
      <c r="W51" s="24"/>
      <c r="X51" s="24"/>
      <c r="Y51" s="24"/>
      <c r="Z51" s="24"/>
      <c r="AA51" s="24"/>
      <c r="AB51" s="24"/>
      <c r="AC51" s="24"/>
    </row>
    <row r="52" ht="15.75" customHeight="1">
      <c r="A52" s="44" t="s">
        <v>61</v>
      </c>
      <c r="B52" s="47">
        <v>57946.0</v>
      </c>
      <c r="C52" s="33">
        <f t="shared" si="19"/>
        <v>0.05467186596</v>
      </c>
      <c r="D52" s="47">
        <v>57838.0</v>
      </c>
      <c r="E52" s="33">
        <f t="shared" si="20"/>
        <v>0.05407988092</v>
      </c>
      <c r="F52" s="43">
        <v>59175.0</v>
      </c>
      <c r="G52" s="33">
        <f t="shared" si="21"/>
        <v>0.05480455589</v>
      </c>
      <c r="H52" s="43">
        <v>65879.0</v>
      </c>
      <c r="I52" s="33">
        <f t="shared" si="22"/>
        <v>0.05973301079</v>
      </c>
      <c r="J52" s="24"/>
      <c r="K52" s="24"/>
      <c r="L52" s="24"/>
      <c r="M52" s="24"/>
      <c r="N52" s="24"/>
      <c r="O52" s="24"/>
      <c r="P52" s="24"/>
      <c r="Q52" s="24"/>
      <c r="R52" s="24"/>
      <c r="S52" s="24"/>
      <c r="T52" s="24"/>
      <c r="U52" s="24"/>
      <c r="V52" s="24"/>
      <c r="W52" s="24"/>
      <c r="X52" s="24"/>
      <c r="Y52" s="24"/>
      <c r="Z52" s="24"/>
      <c r="AA52" s="24"/>
      <c r="AB52" s="24"/>
      <c r="AC52" s="24"/>
    </row>
    <row r="53" ht="15.75" customHeight="1">
      <c r="A53" s="44" t="s">
        <v>62</v>
      </c>
      <c r="B53" s="47">
        <v>82656.0</v>
      </c>
      <c r="C53" s="33">
        <f t="shared" si="19"/>
        <v>0.07798567206</v>
      </c>
      <c r="D53" s="47">
        <v>74589.0</v>
      </c>
      <c r="E53" s="33">
        <f t="shared" si="20"/>
        <v>0.06974245717</v>
      </c>
      <c r="F53" s="43">
        <v>68765.0</v>
      </c>
      <c r="G53" s="33">
        <f t="shared" si="21"/>
        <v>0.06368627436</v>
      </c>
      <c r="H53" s="43">
        <v>74615.0</v>
      </c>
      <c r="I53" s="33">
        <f t="shared" si="22"/>
        <v>0.06765401114</v>
      </c>
      <c r="J53" s="24"/>
      <c r="K53" s="24"/>
      <c r="L53" s="24"/>
      <c r="M53" s="24"/>
      <c r="N53" s="24"/>
      <c r="O53" s="24"/>
      <c r="P53" s="24"/>
      <c r="Q53" s="24"/>
      <c r="R53" s="24"/>
      <c r="S53" s="24"/>
      <c r="T53" s="24"/>
      <c r="U53" s="24"/>
      <c r="V53" s="24"/>
      <c r="W53" s="24"/>
      <c r="X53" s="24"/>
      <c r="Y53" s="24"/>
      <c r="Z53" s="24"/>
      <c r="AA53" s="24"/>
      <c r="AB53" s="24"/>
      <c r="AC53" s="24"/>
    </row>
    <row r="54" ht="15.75" customHeight="1">
      <c r="A54" s="44" t="s">
        <v>63</v>
      </c>
      <c r="B54" s="47">
        <v>166952.0</v>
      </c>
      <c r="C54" s="33">
        <f t="shared" si="19"/>
        <v>0.1575186789</v>
      </c>
      <c r="D54" s="47">
        <v>153264.0</v>
      </c>
      <c r="E54" s="33">
        <f t="shared" si="20"/>
        <v>0.1433054198</v>
      </c>
      <c r="F54" s="43">
        <v>132502.0</v>
      </c>
      <c r="G54" s="33">
        <f t="shared" si="21"/>
        <v>0.122715898</v>
      </c>
      <c r="H54" s="43">
        <v>103836.0</v>
      </c>
      <c r="I54" s="33">
        <f t="shared" si="22"/>
        <v>0.09414892315</v>
      </c>
      <c r="J54" s="24"/>
      <c r="K54" s="24"/>
      <c r="L54" s="24"/>
      <c r="M54" s="24"/>
      <c r="N54" s="24"/>
      <c r="O54" s="24"/>
      <c r="P54" s="24"/>
      <c r="Q54" s="24"/>
      <c r="R54" s="24"/>
      <c r="S54" s="24"/>
      <c r="T54" s="24"/>
      <c r="U54" s="24"/>
      <c r="V54" s="24"/>
      <c r="W54" s="24"/>
      <c r="X54" s="24"/>
      <c r="Y54" s="24"/>
      <c r="Z54" s="24"/>
      <c r="AA54" s="24"/>
      <c r="AB54" s="24"/>
      <c r="AC54" s="24"/>
    </row>
    <row r="55" ht="15.75" customHeight="1">
      <c r="A55" s="44" t="s">
        <v>64</v>
      </c>
      <c r="B55" s="47">
        <v>167690.0</v>
      </c>
      <c r="C55" s="33">
        <f t="shared" si="19"/>
        <v>0.1582149795</v>
      </c>
      <c r="D55" s="47">
        <v>176868.0</v>
      </c>
      <c r="E55" s="33">
        <f t="shared" si="20"/>
        <v>0.1653757111</v>
      </c>
      <c r="F55" s="43">
        <v>177885.0</v>
      </c>
      <c r="G55" s="33">
        <f t="shared" si="21"/>
        <v>0.1647470794</v>
      </c>
      <c r="H55" s="43">
        <v>141509.0</v>
      </c>
      <c r="I55" s="33">
        <f t="shared" si="22"/>
        <v>0.1283073305</v>
      </c>
      <c r="J55" s="24"/>
      <c r="K55" s="24"/>
      <c r="L55" s="24"/>
      <c r="M55" s="24"/>
      <c r="N55" s="24"/>
      <c r="O55" s="24"/>
      <c r="P55" s="24"/>
      <c r="Q55" s="24"/>
      <c r="R55" s="24"/>
      <c r="S55" s="24"/>
      <c r="T55" s="24"/>
      <c r="U55" s="24"/>
      <c r="V55" s="24"/>
      <c r="W55" s="24"/>
      <c r="X55" s="24"/>
      <c r="Y55" s="24"/>
      <c r="Z55" s="24"/>
      <c r="AA55" s="24"/>
      <c r="AB55" s="24"/>
      <c r="AC55" s="24"/>
    </row>
    <row r="56" ht="15.75" customHeight="1">
      <c r="A56" s="44" t="s">
        <v>65</v>
      </c>
      <c r="B56" s="47">
        <v>146879.0</v>
      </c>
      <c r="C56" s="33">
        <f t="shared" si="19"/>
        <v>0.1385798675</v>
      </c>
      <c r="D56" s="47">
        <v>145765.0</v>
      </c>
      <c r="E56" s="33">
        <f t="shared" si="20"/>
        <v>0.1362936796</v>
      </c>
      <c r="F56" s="43">
        <v>156282.0</v>
      </c>
      <c r="G56" s="33">
        <f t="shared" si="21"/>
        <v>0.1447395962</v>
      </c>
      <c r="H56" s="43">
        <v>185093.0</v>
      </c>
      <c r="I56" s="33">
        <f t="shared" si="22"/>
        <v>0.1678252883</v>
      </c>
      <c r="J56" s="24"/>
      <c r="K56" s="24"/>
      <c r="L56" s="24"/>
      <c r="M56" s="24"/>
      <c r="N56" s="24"/>
      <c r="O56" s="24"/>
      <c r="P56" s="24"/>
      <c r="Q56" s="24"/>
      <c r="R56" s="24"/>
      <c r="S56" s="24"/>
      <c r="T56" s="24"/>
      <c r="U56" s="24"/>
      <c r="V56" s="24"/>
      <c r="W56" s="24"/>
      <c r="X56" s="24"/>
      <c r="Y56" s="24"/>
      <c r="Z56" s="24"/>
      <c r="AA56" s="24"/>
      <c r="AB56" s="24"/>
      <c r="AC56" s="24"/>
    </row>
    <row r="57" ht="15.75" customHeight="1">
      <c r="A57" s="44" t="s">
        <v>66</v>
      </c>
      <c r="B57" s="47">
        <v>134325.0</v>
      </c>
      <c r="C57" s="33">
        <f t="shared" si="19"/>
        <v>0.1267352086</v>
      </c>
      <c r="D57" s="47">
        <v>138567.0</v>
      </c>
      <c r="E57" s="33">
        <f t="shared" si="20"/>
        <v>0.1295633815</v>
      </c>
      <c r="F57" s="43">
        <v>140230.0</v>
      </c>
      <c r="G57" s="33">
        <f t="shared" si="21"/>
        <v>0.1298731368</v>
      </c>
      <c r="H57" s="43">
        <v>154618.0</v>
      </c>
      <c r="I57" s="33">
        <f t="shared" si="22"/>
        <v>0.1401933645</v>
      </c>
      <c r="J57" s="24"/>
      <c r="K57" s="24"/>
      <c r="L57" s="24"/>
      <c r="M57" s="24"/>
      <c r="N57" s="24"/>
      <c r="O57" s="24"/>
      <c r="P57" s="24"/>
      <c r="Q57" s="24"/>
      <c r="R57" s="24"/>
      <c r="S57" s="24"/>
      <c r="T57" s="24"/>
      <c r="U57" s="24"/>
      <c r="V57" s="24"/>
      <c r="W57" s="24"/>
      <c r="X57" s="24"/>
      <c r="Y57" s="24"/>
      <c r="Z57" s="24"/>
      <c r="AA57" s="24"/>
      <c r="AB57" s="24"/>
      <c r="AC57" s="24"/>
    </row>
    <row r="58" ht="15.75" customHeight="1">
      <c r="A58" s="44" t="s">
        <v>67</v>
      </c>
      <c r="B58" s="47">
        <v>105443.0</v>
      </c>
      <c r="C58" s="33">
        <f t="shared" si="19"/>
        <v>0.09948513379</v>
      </c>
      <c r="D58" s="47">
        <v>112636.0</v>
      </c>
      <c r="E58" s="33">
        <f t="shared" si="20"/>
        <v>0.1053172908</v>
      </c>
      <c r="F58" s="43">
        <v>119828.0</v>
      </c>
      <c r="G58" s="33">
        <f t="shared" si="21"/>
        <v>0.1109779522</v>
      </c>
      <c r="H58" s="43">
        <v>129488.0</v>
      </c>
      <c r="I58" s="33">
        <f t="shared" si="22"/>
        <v>0.1174077946</v>
      </c>
      <c r="J58" s="24"/>
      <c r="K58" s="24"/>
      <c r="L58" s="24"/>
      <c r="M58" s="24"/>
      <c r="N58" s="24"/>
      <c r="O58" s="24"/>
      <c r="P58" s="24"/>
      <c r="Q58" s="24"/>
      <c r="R58" s="24"/>
      <c r="S58" s="24"/>
      <c r="T58" s="24"/>
      <c r="U58" s="24"/>
      <c r="V58" s="24"/>
      <c r="W58" s="24"/>
      <c r="X58" s="24"/>
      <c r="Y58" s="24"/>
      <c r="Z58" s="24"/>
      <c r="AA58" s="24"/>
      <c r="AB58" s="24"/>
      <c r="AC58" s="24"/>
    </row>
    <row r="59" ht="15.75" customHeight="1">
      <c r="A59" s="44" t="s">
        <v>68</v>
      </c>
      <c r="B59" s="47">
        <v>80792.0</v>
      </c>
      <c r="C59" s="33">
        <f t="shared" si="19"/>
        <v>0.07622699401</v>
      </c>
      <c r="D59" s="47">
        <v>90643.0</v>
      </c>
      <c r="E59" s="33">
        <f t="shared" si="20"/>
        <v>0.08475332214</v>
      </c>
      <c r="F59" s="43">
        <v>104138.0</v>
      </c>
      <c r="G59" s="33">
        <f t="shared" si="21"/>
        <v>0.09644675692</v>
      </c>
      <c r="H59" s="43">
        <v>135351.0</v>
      </c>
      <c r="I59" s="33">
        <f t="shared" si="22"/>
        <v>0.1227238231</v>
      </c>
      <c r="J59" s="24"/>
      <c r="K59" s="24"/>
      <c r="L59" s="24"/>
      <c r="M59" s="24"/>
      <c r="N59" s="24"/>
      <c r="O59" s="24"/>
      <c r="P59" s="24"/>
      <c r="Q59" s="24"/>
      <c r="R59" s="24"/>
      <c r="S59" s="24"/>
      <c r="T59" s="24"/>
      <c r="U59" s="24"/>
      <c r="V59" s="24"/>
      <c r="W59" s="24"/>
      <c r="X59" s="24"/>
      <c r="Y59" s="24"/>
      <c r="Z59" s="24"/>
      <c r="AA59" s="24"/>
      <c r="AB59" s="24"/>
      <c r="AC59" s="24"/>
    </row>
    <row r="60" ht="15.75" customHeight="1">
      <c r="A60" s="44" t="s">
        <v>69</v>
      </c>
      <c r="B60" s="48">
        <v>1059887.0</v>
      </c>
      <c r="C60" s="33">
        <f t="shared" si="19"/>
        <v>1</v>
      </c>
      <c r="D60" s="48">
        <v>1069492.0</v>
      </c>
      <c r="E60" s="33">
        <f t="shared" si="20"/>
        <v>1</v>
      </c>
      <c r="F60" s="45">
        <v>1079746.0</v>
      </c>
      <c r="G60" s="33">
        <f t="shared" si="21"/>
        <v>1</v>
      </c>
      <c r="H60" s="45">
        <v>1102891.0</v>
      </c>
      <c r="I60" s="33">
        <f t="shared" si="22"/>
        <v>1</v>
      </c>
      <c r="J60" s="24"/>
      <c r="K60" s="24"/>
      <c r="L60" s="24"/>
      <c r="M60" s="24"/>
      <c r="N60" s="24"/>
      <c r="O60" s="24"/>
      <c r="P60" s="24"/>
      <c r="Q60" s="24"/>
      <c r="R60" s="24"/>
      <c r="S60" s="24"/>
      <c r="T60" s="24"/>
      <c r="U60" s="24"/>
      <c r="V60" s="24"/>
      <c r="W60" s="24"/>
      <c r="X60" s="24"/>
      <c r="Y60" s="24"/>
      <c r="Z60" s="24"/>
      <c r="AA60" s="24"/>
      <c r="AB60" s="24"/>
      <c r="AC60" s="24"/>
    </row>
    <row r="61"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row>
    <row r="18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row>
    <row r="18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row>
    <row r="190"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row>
    <row r="191"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row>
    <row r="192"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row>
    <row r="193"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row>
    <row r="194"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row>
    <row r="195"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row>
    <row r="196"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row>
    <row r="197"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row>
    <row r="198"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row>
    <row r="199"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row>
    <row r="200"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row>
    <row r="201"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row>
    <row r="202"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row>
    <row r="203"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row>
    <row r="204"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row>
    <row r="205"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row>
    <row r="206"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row>
    <row r="207"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row>
    <row r="208"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row>
    <row r="209"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row>
    <row r="210"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row>
    <row r="211"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row>
    <row r="212"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row>
    <row r="213"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row>
    <row r="214"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row>
    <row r="215"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row>
    <row r="216"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row>
    <row r="217"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row>
    <row r="218"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row>
    <row r="219"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row>
    <row r="220"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row>
    <row r="221"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row>
    <row r="222"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row>
    <row r="223"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row>
    <row r="224"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row>
    <row r="225"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row>
    <row r="226"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row>
    <row r="227"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row>
    <row r="228"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row>
    <row r="229"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row>
    <row r="230"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row>
    <row r="231"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row>
    <row r="232"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row>
    <row r="233"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row>
    <row r="234"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row>
    <row r="235"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row>
    <row r="236"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row>
    <row r="237"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row>
    <row r="238"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row>
    <row r="239"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row>
    <row r="240"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row>
    <row r="241"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row>
    <row r="242"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row>
    <row r="243"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row>
    <row r="244"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row>
    <row r="245"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row>
    <row r="246"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row>
    <row r="247"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row>
    <row r="248"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row>
    <row r="249"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row>
    <row r="250"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row>
    <row r="251"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row>
    <row r="252"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row>
    <row r="253"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row>
    <row r="254"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row>
    <row r="255"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row>
    <row r="256"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row>
    <row r="257"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row>
    <row r="258"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row>
    <row r="259"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row>
    <row r="260"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row>
    <row r="261"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row>
    <row r="262"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row>
    <row r="263"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row>
    <row r="264"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row>
    <row r="265"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row>
    <row r="266"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row>
    <row r="267"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row>
    <row r="268"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row>
    <row r="269"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row>
    <row r="270"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row>
    <row r="271"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row>
    <row r="272"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row>
    <row r="273"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row>
    <row r="274"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row>
    <row r="275"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row>
    <row r="276"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row>
    <row r="277"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row>
    <row r="278"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row>
    <row r="279"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row>
    <row r="280"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row>
    <row r="281"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row>
    <row r="282"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row>
    <row r="283"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row>
    <row r="284"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row>
    <row r="285"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row>
    <row r="286"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row>
    <row r="287"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row>
    <row r="288"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row>
    <row r="289"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row>
    <row r="290"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row>
    <row r="291"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row>
    <row r="292"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row>
    <row r="293"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row>
    <row r="294"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row>
    <row r="295"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row>
    <row r="296"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row>
    <row r="297"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row>
    <row r="298"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row>
    <row r="299"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row>
    <row r="300"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row>
    <row r="301"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row>
    <row r="302"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row>
    <row r="303"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row>
    <row r="304"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row>
    <row r="305"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row>
    <row r="306"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row>
    <row r="307"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row>
    <row r="308"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row>
    <row r="309"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row>
    <row r="310"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row>
    <row r="311"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row>
    <row r="312"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row>
    <row r="313"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row>
    <row r="314"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row>
    <row r="315"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row>
    <row r="316"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row>
    <row r="317"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row>
    <row r="318"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row>
    <row r="319"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row>
    <row r="320"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row>
    <row r="321"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row>
    <row r="322"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row>
    <row r="323"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row>
    <row r="324"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row>
    <row r="325"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row>
    <row r="326"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row>
    <row r="327"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row>
    <row r="328"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row>
    <row r="329"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row>
    <row r="330"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row>
    <row r="331"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row>
    <row r="332"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row>
    <row r="333"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row>
    <row r="334"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row>
    <row r="335"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row>
    <row r="336"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row>
    <row r="337"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row>
    <row r="338"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row>
    <row r="339"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row>
    <row r="340"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row>
    <row r="341"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row>
    <row r="342"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row>
    <row r="343"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row>
    <row r="344"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row>
    <row r="345"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row>
    <row r="346"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row>
    <row r="347"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row>
    <row r="348"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row>
    <row r="349"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row>
    <row r="350"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row>
    <row r="351"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row>
    <row r="352"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row>
    <row r="353"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row>
    <row r="354"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row>
    <row r="355"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row>
    <row r="356"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row>
    <row r="357"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row>
    <row r="358"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row>
    <row r="359"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row>
    <row r="360"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row>
    <row r="361"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row>
    <row r="362"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row>
    <row r="363"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row>
    <row r="364"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row>
    <row r="365"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row>
    <row r="366"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row>
    <row r="367"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row>
    <row r="368"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row>
    <row r="369"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row>
    <row r="370"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row>
    <row r="371"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row>
    <row r="372"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row>
    <row r="373"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row>
    <row r="374"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row>
    <row r="375"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row>
    <row r="376"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row>
    <row r="377"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row>
    <row r="378"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row>
    <row r="379"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row>
    <row r="380"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row>
    <row r="381"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row>
    <row r="382"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row>
    <row r="383"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row>
    <row r="384"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row>
    <row r="385"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row>
    <row r="386"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row>
    <row r="387"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row>
    <row r="388"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row>
    <row r="389"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row>
    <row r="390"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row>
    <row r="391"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row>
    <row r="392"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row>
    <row r="393"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row>
    <row r="394"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row>
    <row r="395"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row>
    <row r="396"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row>
    <row r="397"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row>
    <row r="398"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row>
    <row r="399"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row>
    <row r="400"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row>
    <row r="401"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row>
    <row r="402"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row>
    <row r="403"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row>
    <row r="404"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row>
    <row r="405"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row>
    <row r="406"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row>
    <row r="407"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row>
    <row r="408"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row>
    <row r="409"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row>
    <row r="410"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row>
    <row r="411"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row>
    <row r="412"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row>
    <row r="413"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row>
    <row r="414"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row>
    <row r="415"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row>
    <row r="416"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row>
    <row r="417"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row>
    <row r="418"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row>
    <row r="419"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row>
    <row r="420"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row>
    <row r="421"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row>
    <row r="422"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row>
    <row r="423"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row>
    <row r="424"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row>
    <row r="425"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row>
    <row r="426"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row>
    <row r="427"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row>
    <row r="428"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row>
    <row r="429"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row>
    <row r="430"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row>
    <row r="431"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row>
    <row r="432"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row>
    <row r="433"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row>
    <row r="434"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row>
    <row r="435"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row>
    <row r="436"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row>
    <row r="437"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row>
    <row r="438"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row>
    <row r="439"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row>
    <row r="440"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row>
    <row r="441"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row>
    <row r="442"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row>
    <row r="443"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row>
    <row r="444"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row>
    <row r="445"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row>
    <row r="446"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row>
    <row r="447"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row>
    <row r="448"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row>
    <row r="449"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row>
    <row r="450"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row>
    <row r="451"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row>
    <row r="452"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row>
    <row r="453"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row>
    <row r="454"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row>
    <row r="455"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row>
    <row r="456"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row>
    <row r="457"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row>
    <row r="458"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row>
    <row r="459"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row>
    <row r="460"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row>
    <row r="461"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row>
    <row r="462"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row>
    <row r="463"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row>
    <row r="464"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row>
    <row r="465"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row>
    <row r="466"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row>
    <row r="467"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row>
    <row r="468"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row>
    <row r="469"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row>
    <row r="470"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row>
    <row r="471"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row>
    <row r="472"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row>
    <row r="473"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row>
    <row r="474"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row>
    <row r="475"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row>
    <row r="476"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row>
    <row r="477"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row>
    <row r="478"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row>
    <row r="479"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row>
    <row r="480"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row>
    <row r="481"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row>
    <row r="482"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row>
    <row r="483"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row>
    <row r="484"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row>
    <row r="485"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row>
    <row r="486"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row>
    <row r="487"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row>
    <row r="488"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row>
    <row r="489"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row>
    <row r="490"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row>
    <row r="491"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row>
    <row r="492"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row>
    <row r="493"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row>
    <row r="494"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row>
    <row r="495"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row>
    <row r="496"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row>
    <row r="497"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row>
    <row r="498"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row>
    <row r="499"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row>
    <row r="500"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row>
    <row r="501"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row>
    <row r="502"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row>
    <row r="503"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row>
    <row r="504"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row>
    <row r="505"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row>
    <row r="506"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row>
    <row r="507"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row>
    <row r="508"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row>
    <row r="509"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row>
    <row r="510"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row>
    <row r="511"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row>
    <row r="512"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row>
    <row r="513"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row>
    <row r="514"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row>
    <row r="515"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row>
    <row r="516"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row>
    <row r="517"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row>
    <row r="518"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row>
    <row r="519"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row>
    <row r="520"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row>
    <row r="521"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row>
    <row r="522"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row>
    <row r="523"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row>
    <row r="524"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row>
    <row r="525"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row>
    <row r="526"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row>
    <row r="527"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row>
    <row r="528"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row>
    <row r="529"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row>
    <row r="530"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row>
    <row r="531"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row>
    <row r="532"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row>
    <row r="533"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row>
    <row r="534"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row>
    <row r="535"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row>
    <row r="536"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row>
    <row r="537"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row>
    <row r="538"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row>
    <row r="539"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row>
    <row r="540"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row>
    <row r="541"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row>
    <row r="542"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row>
    <row r="543"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row>
    <row r="544"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row>
    <row r="545"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row>
    <row r="546"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row>
    <row r="547"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row>
    <row r="548"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row>
    <row r="549"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row>
    <row r="550"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row>
    <row r="551"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row>
    <row r="552"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row>
    <row r="553"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row>
    <row r="554"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row>
    <row r="555"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row>
    <row r="556"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row>
    <row r="557"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row>
    <row r="558"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row>
    <row r="559"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row>
    <row r="560"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row>
    <row r="561"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row>
    <row r="562"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row>
    <row r="563"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row>
    <row r="564"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row>
    <row r="565"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row>
    <row r="566"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row>
    <row r="567"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row>
    <row r="568"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row>
    <row r="569"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row>
    <row r="570"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row>
    <row r="571"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row>
    <row r="572"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row>
    <row r="573"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row>
    <row r="574"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row>
    <row r="575"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row>
    <row r="576"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row>
    <row r="577"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row>
    <row r="578"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row>
    <row r="579"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row>
    <row r="580"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row>
    <row r="581"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row>
    <row r="582"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row>
    <row r="583"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row>
    <row r="584"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row>
    <row r="585"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row>
    <row r="586"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row>
    <row r="587"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row>
    <row r="588"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row>
    <row r="589"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row>
    <row r="590"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row>
    <row r="591"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row>
    <row r="592"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row>
    <row r="593"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row>
    <row r="594"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row>
    <row r="595"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row>
    <row r="596"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row>
    <row r="597"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row>
    <row r="598"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row>
    <row r="599"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row>
    <row r="600"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row>
    <row r="601"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row>
    <row r="602"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row>
    <row r="603"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row>
    <row r="604"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row>
    <row r="605"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row>
    <row r="606"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row>
    <row r="607"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row>
    <row r="608"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row>
    <row r="609"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row>
    <row r="610"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row>
    <row r="611"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row>
    <row r="612"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row>
    <row r="613"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row>
    <row r="614"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row>
    <row r="615"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row>
    <row r="616"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row>
    <row r="617"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row>
    <row r="618"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row>
    <row r="619"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row>
    <row r="620"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row>
    <row r="621"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row>
    <row r="622"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row>
    <row r="623"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row>
    <row r="624"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row>
    <row r="625"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row>
    <row r="626"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row>
    <row r="627"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row>
    <row r="628"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row>
    <row r="629"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row>
    <row r="630"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row>
    <row r="631"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row>
    <row r="632"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row>
    <row r="633"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row>
    <row r="634"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row>
    <row r="635"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row>
    <row r="636"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row>
    <row r="637"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row>
    <row r="638"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row>
    <row r="639"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row>
    <row r="640"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row>
    <row r="641"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row>
    <row r="642"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row>
    <row r="643"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row>
    <row r="644"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row>
    <row r="645"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row>
    <row r="646"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row>
    <row r="647"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row>
    <row r="648"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row>
    <row r="649"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row>
    <row r="650"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row>
    <row r="651"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row>
    <row r="652"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row>
    <row r="653"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row>
    <row r="654"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row>
    <row r="655"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row>
    <row r="656"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row>
    <row r="657"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row>
    <row r="658"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row>
    <row r="659"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row>
    <row r="660"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row>
    <row r="661"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row>
    <row r="662"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row>
    <row r="663"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row>
    <row r="664"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row>
    <row r="665"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row>
    <row r="666"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row>
    <row r="667"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row>
    <row r="668"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row>
    <row r="669"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row>
    <row r="670"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row>
    <row r="671"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row>
    <row r="672"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row>
    <row r="673"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row>
    <row r="674"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row>
    <row r="675"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row>
    <row r="676"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row>
    <row r="677"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row>
    <row r="678"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row>
    <row r="679"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row>
    <row r="680"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row>
    <row r="681"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row>
    <row r="682"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row>
    <row r="683"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row>
    <row r="684"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row>
    <row r="685"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row>
    <row r="686"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row>
    <row r="687"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row>
    <row r="688"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row>
    <row r="689"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row>
    <row r="690"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row>
    <row r="691"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row>
    <row r="692"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row>
    <row r="693"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row>
    <row r="694"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row>
    <row r="695"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row>
    <row r="696"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row>
    <row r="697"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row>
    <row r="698"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row>
    <row r="699"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row>
    <row r="700"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row>
    <row r="701"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row>
    <row r="702"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row>
    <row r="703"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row>
    <row r="704"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row>
    <row r="705"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row>
    <row r="706"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row>
    <row r="707"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row>
    <row r="708"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row>
    <row r="709"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row>
    <row r="710"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row>
    <row r="711"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row>
    <row r="712"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row>
    <row r="713"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row>
    <row r="714"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row>
    <row r="715"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row>
    <row r="716"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row>
    <row r="717"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row>
    <row r="718"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row>
    <row r="719"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row>
    <row r="720"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row>
    <row r="721"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row>
    <row r="722"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row>
    <row r="723"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row>
    <row r="724"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row>
    <row r="725"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row>
    <row r="726"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row>
    <row r="727"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row>
    <row r="728"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row>
    <row r="729"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row>
    <row r="730"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row>
    <row r="731"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row>
    <row r="732"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row>
    <row r="733"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row>
    <row r="734"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row>
    <row r="735"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row>
    <row r="736"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row>
    <row r="737"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row>
    <row r="738"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row>
    <row r="739"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row>
    <row r="740"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row>
    <row r="741"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row>
    <row r="742"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row>
    <row r="743"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row>
    <row r="744"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row>
    <row r="745"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row>
    <row r="746"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row>
    <row r="747"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row>
    <row r="748"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row>
    <row r="749"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row>
    <row r="750"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row>
    <row r="751"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row>
    <row r="752"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row>
    <row r="753"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row>
    <row r="754"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row>
    <row r="755"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row>
    <row r="756"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row>
    <row r="757"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row>
    <row r="758"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row>
    <row r="759"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row>
    <row r="760"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row>
    <row r="761"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row>
    <row r="762"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row>
    <row r="763"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row>
    <row r="764"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row>
    <row r="765"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row>
    <row r="766"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row>
    <row r="767"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row>
    <row r="768"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row>
    <row r="769"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row>
    <row r="770"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row>
    <row r="771"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row>
    <row r="772"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row>
    <row r="773"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row>
    <row r="774"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row>
    <row r="775"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row>
    <row r="776"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row>
    <row r="777"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row>
    <row r="778"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row>
    <row r="779"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row>
    <row r="780"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row>
    <row r="781"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row>
    <row r="782"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row>
    <row r="783"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row>
    <row r="784"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row>
    <row r="785"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row>
    <row r="786"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row>
    <row r="787"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row>
    <row r="788"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row>
    <row r="789"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row>
    <row r="790"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row>
    <row r="791"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row>
    <row r="792"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row>
    <row r="793"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row>
    <row r="794"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row>
    <row r="795"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row>
    <row r="796"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row>
    <row r="797"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row>
    <row r="798"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row>
    <row r="799"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row>
    <row r="800"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row>
    <row r="801"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row>
    <row r="802"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row>
    <row r="803"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row>
    <row r="804"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row>
    <row r="805"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row>
    <row r="806"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row>
    <row r="807"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row>
    <row r="808"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row>
    <row r="809"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row>
    <row r="810"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row>
    <row r="811"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row>
    <row r="812"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row>
    <row r="813"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row>
    <row r="814"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row>
    <row r="815"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row>
    <row r="816"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row>
    <row r="817"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row>
    <row r="818"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row>
    <row r="819"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row>
    <row r="820"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row>
    <row r="821"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row>
    <row r="822"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row>
    <row r="823"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row>
    <row r="824"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row>
    <row r="825"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row>
    <row r="826"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row>
    <row r="827"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row>
    <row r="828"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row>
    <row r="829"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row>
    <row r="830"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row>
    <row r="831"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row>
    <row r="832"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row>
    <row r="833"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row>
    <row r="834"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row>
    <row r="835"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row>
    <row r="836"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row>
    <row r="837"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row>
    <row r="838"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row>
    <row r="839"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row>
    <row r="840"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row>
    <row r="841"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row>
    <row r="842"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row>
    <row r="843"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row>
    <row r="844"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row>
    <row r="845"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row>
    <row r="846"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row>
    <row r="847"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row>
    <row r="848"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row>
    <row r="849"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row>
    <row r="850"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row>
    <row r="851"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row>
    <row r="852"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row>
    <row r="853"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row>
    <row r="854"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row>
    <row r="855"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row>
    <row r="856"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row>
    <row r="857"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row>
    <row r="858"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row>
    <row r="859"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row>
    <row r="860"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row>
    <row r="861"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row>
    <row r="862"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row>
    <row r="863"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row>
    <row r="864"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row>
    <row r="865"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row>
    <row r="866"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row>
    <row r="867"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row>
    <row r="868"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row>
    <row r="869"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row>
    <row r="870"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row>
    <row r="871"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row>
    <row r="872"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row>
    <row r="873"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row>
    <row r="874"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row>
    <row r="875"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row>
    <row r="876"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row>
    <row r="877"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row>
    <row r="878"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row>
    <row r="879"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row>
    <row r="880"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row>
    <row r="881"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row>
    <row r="882"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row>
    <row r="883"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row>
    <row r="884"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row>
    <row r="885"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row>
    <row r="886"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row>
    <row r="887"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row>
    <row r="888"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row>
    <row r="889"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row>
    <row r="890"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row>
    <row r="891"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row>
    <row r="892"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row>
    <row r="893"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row>
    <row r="894"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row>
    <row r="895"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row>
    <row r="896"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row>
    <row r="897"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row>
    <row r="898"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row>
    <row r="899"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row>
    <row r="900"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row>
    <row r="901"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row>
    <row r="902"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row>
    <row r="903"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row>
    <row r="904"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row>
    <row r="905"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row>
    <row r="906"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row>
    <row r="907"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row>
    <row r="908"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row>
    <row r="909"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row>
    <row r="910"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row>
    <row r="911"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row>
    <row r="912"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row>
    <row r="913"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row>
    <row r="914"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row>
    <row r="915"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row>
    <row r="916"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row>
    <row r="917"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row>
    <row r="918"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row>
    <row r="919"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row>
    <row r="920"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row>
    <row r="921"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row>
    <row r="922"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row>
    <row r="923"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row>
    <row r="924"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row>
    <row r="925"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row>
    <row r="926"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row>
    <row r="927"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row>
    <row r="928"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row>
    <row r="929"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row>
    <row r="930"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row>
    <row r="931"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row>
    <row r="932"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row>
    <row r="933"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row>
    <row r="934"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row>
    <row r="935"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row>
    <row r="936"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row>
    <row r="937"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row>
    <row r="938"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row>
    <row r="939"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row>
    <row r="940"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row>
    <row r="941"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row>
    <row r="942"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row>
    <row r="943"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row>
    <row r="944"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row>
    <row r="945"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row>
    <row r="946"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row>
    <row r="947"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row>
    <row r="948"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row>
    <row r="949"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row>
    <row r="950"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row>
    <row r="951"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row>
    <row r="952"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row>
    <row r="953"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row>
    <row r="954"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row>
    <row r="955"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row>
    <row r="956"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row>
    <row r="957"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row>
    <row r="958"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row>
    <row r="959"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row>
    <row r="960"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row>
    <row r="961"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row>
    <row r="962"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row>
    <row r="963"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row>
    <row r="964"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row>
    <row r="965"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row>
    <row r="966" ht="15.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row>
    <row r="967" ht="15.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row>
    <row r="968" ht="15.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row>
    <row r="969" ht="15.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row>
    <row r="970" ht="15.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row>
    <row r="971" ht="15.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row>
    <row r="972" ht="15.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row>
    <row r="973" ht="15.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row>
    <row r="974" ht="15.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row>
    <row r="975" ht="15.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row>
    <row r="976" ht="15.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row>
    <row r="977" ht="15.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row>
    <row r="978" ht="15.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row>
    <row r="979" ht="15.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row>
  </sheetData>
  <mergeCells count="33">
    <mergeCell ref="B9:C9"/>
    <mergeCell ref="D9:E9"/>
    <mergeCell ref="F9:G9"/>
    <mergeCell ref="H9:I9"/>
    <mergeCell ref="J9:K9"/>
    <mergeCell ref="L9:M9"/>
    <mergeCell ref="N9:O9"/>
    <mergeCell ref="B18:E18"/>
    <mergeCell ref="F18:I18"/>
    <mergeCell ref="J18:M18"/>
    <mergeCell ref="N18:Q18"/>
    <mergeCell ref="R18:U18"/>
    <mergeCell ref="V18:Y18"/>
    <mergeCell ref="Z18:AC18"/>
    <mergeCell ref="P19:Q19"/>
    <mergeCell ref="R19:S19"/>
    <mergeCell ref="T19:U19"/>
    <mergeCell ref="V19:W19"/>
    <mergeCell ref="X19:Y19"/>
    <mergeCell ref="Z19:AA19"/>
    <mergeCell ref="AB19:AC19"/>
    <mergeCell ref="B29:C29"/>
    <mergeCell ref="B47:C47"/>
    <mergeCell ref="D47:E47"/>
    <mergeCell ref="F47:G47"/>
    <mergeCell ref="H47:I47"/>
    <mergeCell ref="B19:C19"/>
    <mergeCell ref="D19:E19"/>
    <mergeCell ref="F19:G19"/>
    <mergeCell ref="H19:I19"/>
    <mergeCell ref="J19:K19"/>
    <mergeCell ref="L19:M19"/>
    <mergeCell ref="N19:O19"/>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32" width="11.13"/>
  </cols>
  <sheetData>
    <row r="1" ht="15.75" customHeight="1">
      <c r="A1" s="49" t="s">
        <v>71</v>
      </c>
      <c r="B1" s="49"/>
      <c r="C1" s="49"/>
      <c r="D1" s="49"/>
      <c r="E1" s="49"/>
      <c r="F1" s="49"/>
      <c r="G1" s="49"/>
      <c r="H1" s="49"/>
      <c r="I1" s="49"/>
      <c r="J1" s="49"/>
      <c r="K1" s="49"/>
      <c r="L1" s="49"/>
      <c r="M1" s="49"/>
      <c r="N1" s="49"/>
      <c r="O1" s="49"/>
      <c r="P1" s="49"/>
      <c r="Q1" s="49"/>
      <c r="R1" s="49"/>
      <c r="S1" s="49"/>
      <c r="T1" s="49"/>
      <c r="U1" s="49"/>
      <c r="V1" s="49"/>
      <c r="W1" s="49"/>
      <c r="X1" s="49"/>
      <c r="Y1" s="49"/>
      <c r="Z1" s="49"/>
      <c r="AA1" s="24"/>
      <c r="AB1" s="24"/>
      <c r="AC1" s="24"/>
      <c r="AD1" s="24"/>
      <c r="AE1" s="24"/>
      <c r="AF1" s="24"/>
    </row>
    <row r="2" ht="15.75" customHeight="1">
      <c r="A2" s="50"/>
      <c r="B2" s="31">
        <v>2022.0</v>
      </c>
      <c r="C2" s="6"/>
      <c r="D2" s="7"/>
      <c r="E2" s="31">
        <v>2023.0</v>
      </c>
      <c r="F2" s="6"/>
      <c r="G2" s="7"/>
      <c r="H2" s="31">
        <v>2024.0</v>
      </c>
      <c r="I2" s="6"/>
      <c r="J2" s="7"/>
      <c r="K2" s="31">
        <v>2025.0</v>
      </c>
      <c r="L2" s="6"/>
      <c r="M2" s="7"/>
      <c r="N2" s="51"/>
      <c r="Q2" s="51"/>
      <c r="T2" s="51"/>
      <c r="W2" s="49"/>
      <c r="X2" s="49"/>
      <c r="Y2" s="49"/>
      <c r="Z2" s="49"/>
      <c r="AA2" s="24"/>
      <c r="AB2" s="24"/>
      <c r="AC2" s="24"/>
      <c r="AD2" s="24"/>
      <c r="AE2" s="24"/>
      <c r="AF2" s="24"/>
    </row>
    <row r="3" ht="15.75" customHeight="1">
      <c r="A3" s="50"/>
      <c r="B3" s="52" t="s">
        <v>14</v>
      </c>
      <c r="C3" s="52" t="s">
        <v>72</v>
      </c>
      <c r="D3" s="52" t="s">
        <v>73</v>
      </c>
      <c r="E3" s="52" t="s">
        <v>14</v>
      </c>
      <c r="F3" s="52" t="s">
        <v>72</v>
      </c>
      <c r="G3" s="52" t="s">
        <v>73</v>
      </c>
      <c r="H3" s="52" t="s">
        <v>14</v>
      </c>
      <c r="I3" s="52" t="s">
        <v>72</v>
      </c>
      <c r="J3" s="52" t="s">
        <v>73</v>
      </c>
      <c r="K3" s="52" t="s">
        <v>14</v>
      </c>
      <c r="L3" s="52" t="s">
        <v>72</v>
      </c>
      <c r="M3" s="52" t="s">
        <v>73</v>
      </c>
      <c r="N3" s="53"/>
      <c r="O3" s="53"/>
      <c r="P3" s="53"/>
      <c r="Q3" s="53"/>
      <c r="R3" s="53"/>
      <c r="S3" s="53"/>
      <c r="T3" s="53"/>
      <c r="U3" s="53"/>
      <c r="V3" s="53"/>
      <c r="W3" s="49"/>
      <c r="X3" s="49"/>
      <c r="Y3" s="49"/>
      <c r="Z3" s="49"/>
      <c r="AA3" s="24"/>
      <c r="AB3" s="24"/>
      <c r="AC3" s="24"/>
      <c r="AD3" s="24"/>
      <c r="AE3" s="24"/>
      <c r="AF3" s="24"/>
    </row>
    <row r="4" ht="30.0" customHeight="1">
      <c r="A4" s="50"/>
      <c r="B4" s="54"/>
      <c r="C4" s="54"/>
      <c r="D4" s="54"/>
      <c r="E4" s="54"/>
      <c r="F4" s="54"/>
      <c r="G4" s="54"/>
      <c r="H4" s="54"/>
      <c r="I4" s="54"/>
      <c r="J4" s="54"/>
      <c r="K4" s="54"/>
      <c r="L4" s="54"/>
      <c r="M4" s="54"/>
      <c r="W4" s="49"/>
      <c r="X4" s="49"/>
      <c r="Y4" s="49"/>
      <c r="Z4" s="49"/>
      <c r="AA4" s="24"/>
      <c r="AB4" s="24"/>
      <c r="AC4" s="24"/>
      <c r="AD4" s="24"/>
      <c r="AE4" s="24"/>
      <c r="AF4" s="24"/>
    </row>
    <row r="5" ht="15.75" customHeight="1">
      <c r="A5" s="55" t="s">
        <v>74</v>
      </c>
      <c r="B5" s="27">
        <v>1102997.0</v>
      </c>
      <c r="C5" s="56">
        <v>2754.94</v>
      </c>
      <c r="D5" s="57">
        <f t="shared" ref="D5:D18" si="1">B5/C5</f>
        <v>400.370607</v>
      </c>
      <c r="E5" s="27">
        <v>1106303.0</v>
      </c>
      <c r="F5" s="56">
        <v>2754.94</v>
      </c>
      <c r="G5" s="57">
        <f>E5/$F$5</f>
        <v>401.5706331</v>
      </c>
      <c r="H5" s="27">
        <v>110427.0</v>
      </c>
      <c r="I5" s="56">
        <v>2754.94</v>
      </c>
      <c r="J5" s="57">
        <f t="shared" ref="J5:J18" si="2">H5/I5</f>
        <v>40.0832686</v>
      </c>
      <c r="K5" s="27">
        <v>1115037.0</v>
      </c>
      <c r="L5" s="56">
        <v>2754.94</v>
      </c>
      <c r="M5" s="57">
        <f t="shared" ref="M5:M18" si="3">K5/L5</f>
        <v>404.7409381</v>
      </c>
      <c r="N5" s="24"/>
      <c r="O5" s="50"/>
      <c r="P5" s="50"/>
      <c r="Q5" s="24"/>
      <c r="R5" s="50"/>
      <c r="S5" s="50"/>
      <c r="T5" s="24"/>
      <c r="U5" s="50"/>
      <c r="V5" s="50"/>
      <c r="W5" s="49"/>
      <c r="X5" s="49"/>
      <c r="Y5" s="49"/>
      <c r="Z5" s="49"/>
      <c r="AA5" s="24"/>
      <c r="AB5" s="24"/>
      <c r="AC5" s="24"/>
      <c r="AD5" s="24"/>
      <c r="AE5" s="24"/>
      <c r="AF5" s="24"/>
    </row>
    <row r="6" ht="15.75" customHeight="1">
      <c r="A6" s="55" t="s">
        <v>44</v>
      </c>
      <c r="B6" s="27">
        <v>1253157.0</v>
      </c>
      <c r="C6" s="56">
        <v>4785.48</v>
      </c>
      <c r="D6" s="57">
        <f t="shared" si="1"/>
        <v>261.8665212</v>
      </c>
      <c r="E6" s="27">
        <v>1257326.0</v>
      </c>
      <c r="F6" s="56">
        <v>4785.48</v>
      </c>
      <c r="G6" s="57">
        <f>E6/$F$6</f>
        <v>262.7376982</v>
      </c>
      <c r="H6" s="27">
        <v>1260955.0</v>
      </c>
      <c r="I6" s="56">
        <v>4785.48</v>
      </c>
      <c r="J6" s="57">
        <f t="shared" si="2"/>
        <v>263.4960338</v>
      </c>
      <c r="K6" s="27">
        <v>1266138.0</v>
      </c>
      <c r="L6" s="56">
        <v>4785.48</v>
      </c>
      <c r="M6" s="57">
        <f t="shared" si="3"/>
        <v>264.5791018</v>
      </c>
      <c r="N6" s="24"/>
      <c r="O6" s="50"/>
      <c r="P6" s="50"/>
      <c r="Q6" s="24"/>
      <c r="R6" s="50"/>
      <c r="S6" s="50"/>
      <c r="T6" s="24"/>
      <c r="U6" s="50"/>
      <c r="V6" s="50"/>
      <c r="W6" s="49"/>
      <c r="X6" s="49"/>
      <c r="Y6" s="49"/>
      <c r="Z6" s="49"/>
      <c r="AA6" s="24"/>
      <c r="AB6" s="24"/>
      <c r="AC6" s="24"/>
      <c r="AD6" s="24"/>
      <c r="AE6" s="24"/>
      <c r="AF6" s="24"/>
    </row>
    <row r="7" ht="15.75" customHeight="1">
      <c r="A7" s="55" t="s">
        <v>75</v>
      </c>
      <c r="B7" s="27">
        <v>594941.0</v>
      </c>
      <c r="C7" s="56">
        <v>1279.0</v>
      </c>
      <c r="D7" s="57">
        <f t="shared" si="1"/>
        <v>465.1610633</v>
      </c>
      <c r="E7" s="27">
        <v>597117.0</v>
      </c>
      <c r="F7" s="56">
        <v>1279.0</v>
      </c>
      <c r="G7" s="57">
        <f>E7/$F$7</f>
        <v>466.8623925</v>
      </c>
      <c r="H7" s="27">
        <v>597949.0</v>
      </c>
      <c r="I7" s="56">
        <v>1279.0</v>
      </c>
      <c r="J7" s="57">
        <f t="shared" si="2"/>
        <v>467.5129007</v>
      </c>
      <c r="K7" s="27">
        <v>598333.0</v>
      </c>
      <c r="L7" s="56">
        <v>1279.0</v>
      </c>
      <c r="M7" s="57">
        <f t="shared" si="3"/>
        <v>467.8131353</v>
      </c>
      <c r="N7" s="24"/>
      <c r="O7" s="50"/>
      <c r="P7" s="50"/>
      <c r="Q7" s="24"/>
      <c r="R7" s="50"/>
      <c r="S7" s="50"/>
      <c r="T7" s="24"/>
      <c r="U7" s="50"/>
      <c r="V7" s="50"/>
      <c r="W7" s="49"/>
      <c r="X7" s="49"/>
      <c r="Y7" s="58"/>
      <c r="Z7" s="58" t="s">
        <v>76</v>
      </c>
      <c r="AA7" s="24"/>
      <c r="AB7" s="24"/>
      <c r="AC7" s="24"/>
      <c r="AD7" s="24"/>
      <c r="AE7" s="24"/>
      <c r="AF7" s="24"/>
    </row>
    <row r="8" ht="15.75" customHeight="1">
      <c r="A8" s="55" t="s">
        <v>77</v>
      </c>
      <c r="B8" s="27">
        <v>351654.0</v>
      </c>
      <c r="C8" s="56">
        <v>1770.35</v>
      </c>
      <c r="D8" s="57">
        <f t="shared" si="1"/>
        <v>198.6352981</v>
      </c>
      <c r="E8" s="27">
        <v>352189.0</v>
      </c>
      <c r="F8" s="56">
        <v>1770.35</v>
      </c>
      <c r="G8" s="57">
        <f>E8/$F$8</f>
        <v>198.9374982</v>
      </c>
      <c r="H8" s="27">
        <v>352965.0</v>
      </c>
      <c r="I8" s="56">
        <v>1770.35</v>
      </c>
      <c r="J8" s="57">
        <f t="shared" si="2"/>
        <v>199.3758296</v>
      </c>
      <c r="K8" s="27">
        <v>353995.0</v>
      </c>
      <c r="L8" s="56">
        <v>1770.35</v>
      </c>
      <c r="M8" s="57">
        <f t="shared" si="3"/>
        <v>199.9576355</v>
      </c>
      <c r="N8" s="24"/>
      <c r="O8" s="50"/>
      <c r="P8" s="50"/>
      <c r="Q8" s="24"/>
      <c r="R8" s="50"/>
      <c r="S8" s="50"/>
      <c r="T8" s="24"/>
      <c r="U8" s="50"/>
      <c r="V8" s="50"/>
      <c r="W8" s="49"/>
      <c r="X8" s="49"/>
      <c r="Y8" s="24" t="s">
        <v>74</v>
      </c>
      <c r="Z8" s="59">
        <v>2723.77</v>
      </c>
      <c r="AA8" s="24"/>
      <c r="AB8" s="24"/>
      <c r="AC8" s="24"/>
      <c r="AD8" s="24"/>
      <c r="AE8" s="24"/>
      <c r="AF8" s="24"/>
    </row>
    <row r="9" ht="15.75" customHeight="1">
      <c r="A9" s="55" t="s">
        <v>78</v>
      </c>
      <c r="B9" s="27">
        <v>332457.0</v>
      </c>
      <c r="C9" s="56">
        <v>805.52</v>
      </c>
      <c r="D9" s="57">
        <f t="shared" si="1"/>
        <v>412.7234581</v>
      </c>
      <c r="E9" s="27">
        <v>332775.0</v>
      </c>
      <c r="F9" s="56">
        <v>805.52</v>
      </c>
      <c r="G9" s="57">
        <f>E9/$F$9</f>
        <v>413.1182342</v>
      </c>
      <c r="H9" s="27">
        <v>333270.0</v>
      </c>
      <c r="I9" s="56">
        <v>805.52</v>
      </c>
      <c r="J9" s="57">
        <f t="shared" si="2"/>
        <v>413.7327441</v>
      </c>
      <c r="K9" s="27">
        <v>333804.0</v>
      </c>
      <c r="L9" s="56">
        <v>805.52</v>
      </c>
      <c r="M9" s="57">
        <f t="shared" si="3"/>
        <v>414.3956699</v>
      </c>
      <c r="N9" s="24"/>
      <c r="O9" s="50"/>
      <c r="P9" s="50"/>
      <c r="Q9" s="24"/>
      <c r="R9" s="50"/>
      <c r="S9" s="50"/>
      <c r="T9" s="24"/>
      <c r="U9" s="50"/>
      <c r="V9" s="50"/>
      <c r="W9" s="49"/>
      <c r="X9" s="49"/>
      <c r="Y9" s="24" t="s">
        <v>44</v>
      </c>
      <c r="Z9" s="59">
        <v>4786.93</v>
      </c>
      <c r="AA9" s="24"/>
      <c r="AB9" s="24"/>
      <c r="AC9" s="24"/>
      <c r="AD9" s="24"/>
      <c r="AE9" s="24"/>
      <c r="AF9" s="24"/>
    </row>
    <row r="10" ht="15.75" customHeight="1">
      <c r="A10" s="55" t="s">
        <v>79</v>
      </c>
      <c r="B10" s="27">
        <v>227327.0</v>
      </c>
      <c r="C10" s="56">
        <v>783.03</v>
      </c>
      <c r="D10" s="57">
        <f t="shared" si="1"/>
        <v>290.3171015</v>
      </c>
      <c r="E10" s="27">
        <v>228136.0</v>
      </c>
      <c r="F10" s="56">
        <v>783.03</v>
      </c>
      <c r="G10" s="57">
        <f>E10/$F$10</f>
        <v>291.3502676</v>
      </c>
      <c r="H10" s="27">
        <v>229473.0</v>
      </c>
      <c r="I10" s="56">
        <v>783.03</v>
      </c>
      <c r="J10" s="57">
        <f t="shared" si="2"/>
        <v>293.0577373</v>
      </c>
      <c r="K10" s="27">
        <v>230447.0</v>
      </c>
      <c r="L10" s="56">
        <v>783.03</v>
      </c>
      <c r="M10" s="57">
        <f t="shared" si="3"/>
        <v>294.3016232</v>
      </c>
      <c r="N10" s="24"/>
      <c r="O10" s="50"/>
      <c r="P10" s="50"/>
      <c r="Q10" s="24"/>
      <c r="R10" s="50"/>
      <c r="S10" s="50"/>
      <c r="T10" s="24"/>
      <c r="U10" s="50"/>
      <c r="V10" s="50"/>
      <c r="W10" s="49"/>
      <c r="X10" s="49"/>
      <c r="Y10" s="24" t="s">
        <v>75</v>
      </c>
      <c r="Z10" s="59">
        <v>1278.95</v>
      </c>
      <c r="AA10" s="24"/>
      <c r="AB10" s="24"/>
      <c r="AC10" s="24"/>
      <c r="AD10" s="24"/>
      <c r="AE10" s="24"/>
      <c r="AF10" s="24"/>
    </row>
    <row r="11" ht="15.75" customHeight="1">
      <c r="A11" s="55" t="s">
        <v>80</v>
      </c>
      <c r="B11" s="27">
        <v>404476.0</v>
      </c>
      <c r="C11" s="56">
        <v>2341.35</v>
      </c>
      <c r="D11" s="57">
        <f t="shared" si="1"/>
        <v>172.7533261</v>
      </c>
      <c r="E11" s="27">
        <v>406119.0</v>
      </c>
      <c r="F11" s="56">
        <v>2341.35</v>
      </c>
      <c r="G11" s="57">
        <f>E11/$F$11</f>
        <v>173.455058</v>
      </c>
      <c r="H11" s="27">
        <v>407002.0</v>
      </c>
      <c r="I11" s="56">
        <v>2341.35</v>
      </c>
      <c r="J11" s="57">
        <f t="shared" si="2"/>
        <v>173.8321908</v>
      </c>
      <c r="K11" s="27">
        <v>407312.0</v>
      </c>
      <c r="L11" s="56">
        <v>2341.35</v>
      </c>
      <c r="M11" s="57">
        <f t="shared" si="3"/>
        <v>173.9645931</v>
      </c>
      <c r="N11" s="24"/>
      <c r="O11" s="50"/>
      <c r="P11" s="50"/>
      <c r="Q11" s="24"/>
      <c r="R11" s="50"/>
      <c r="S11" s="50"/>
      <c r="T11" s="24"/>
      <c r="U11" s="50"/>
      <c r="V11" s="50"/>
      <c r="W11" s="49"/>
      <c r="X11" s="49"/>
      <c r="Y11" s="24" t="s">
        <v>77</v>
      </c>
      <c r="Z11" s="59">
        <v>1769.42</v>
      </c>
      <c r="AA11" s="24"/>
      <c r="AB11" s="24"/>
      <c r="AC11" s="24"/>
      <c r="AD11" s="24"/>
      <c r="AE11" s="24"/>
      <c r="AF11" s="24"/>
    </row>
    <row r="12" ht="15.0" customHeight="1">
      <c r="A12" s="55" t="s">
        <v>81</v>
      </c>
      <c r="B12" s="27">
        <v>3214630.0</v>
      </c>
      <c r="C12" s="56">
        <v>1575.54</v>
      </c>
      <c r="D12" s="57">
        <f t="shared" si="1"/>
        <v>2040.335377</v>
      </c>
      <c r="E12" s="27">
        <v>3228006.0</v>
      </c>
      <c r="F12" s="56">
        <v>1575.54</v>
      </c>
      <c r="G12" s="57">
        <f>E12/$F$12</f>
        <v>2048.825165</v>
      </c>
      <c r="H12" s="27">
        <v>3245459.0</v>
      </c>
      <c r="I12" s="56">
        <v>1575.54</v>
      </c>
      <c r="J12" s="57">
        <f t="shared" si="2"/>
        <v>2059.902637</v>
      </c>
      <c r="K12" s="27">
        <v>3247623.0</v>
      </c>
      <c r="L12" s="56">
        <v>1575.54</v>
      </c>
      <c r="M12" s="57">
        <f t="shared" si="3"/>
        <v>2061.276134</v>
      </c>
      <c r="N12" s="24"/>
      <c r="O12" s="50"/>
      <c r="P12" s="50"/>
      <c r="Q12" s="24"/>
      <c r="R12" s="50"/>
      <c r="S12" s="50"/>
      <c r="T12" s="24"/>
      <c r="U12" s="50"/>
      <c r="V12" s="50"/>
      <c r="W12" s="49"/>
      <c r="X12" s="49"/>
      <c r="Y12" s="24" t="s">
        <v>78</v>
      </c>
      <c r="Z12" s="24">
        <v>814.58</v>
      </c>
      <c r="AA12" s="24"/>
      <c r="AB12" s="24"/>
      <c r="AC12" s="24"/>
      <c r="AD12" s="24"/>
      <c r="AE12" s="24"/>
      <c r="AF12" s="24"/>
    </row>
    <row r="13" ht="15.75" customHeight="1">
      <c r="A13" s="55" t="s">
        <v>82</v>
      </c>
      <c r="B13" s="27">
        <v>870407.0</v>
      </c>
      <c r="C13" s="56">
        <v>405.4</v>
      </c>
      <c r="D13" s="57">
        <f t="shared" si="1"/>
        <v>2147.03256</v>
      </c>
      <c r="E13" s="27">
        <v>873606.0</v>
      </c>
      <c r="F13" s="56">
        <v>405.4</v>
      </c>
      <c r="G13" s="57">
        <f>E13/$F$13</f>
        <v>2154.923532</v>
      </c>
      <c r="H13" s="27">
        <v>876792.0</v>
      </c>
      <c r="I13" s="56">
        <v>405.4</v>
      </c>
      <c r="J13" s="57">
        <f t="shared" si="2"/>
        <v>2162.782437</v>
      </c>
      <c r="K13" s="27">
        <v>879752.0</v>
      </c>
      <c r="L13" s="56">
        <v>405.4</v>
      </c>
      <c r="M13" s="57">
        <f t="shared" si="3"/>
        <v>2170.083868</v>
      </c>
      <c r="N13" s="24"/>
      <c r="O13" s="50"/>
      <c r="P13" s="50"/>
      <c r="Q13" s="24"/>
      <c r="R13" s="50"/>
      <c r="S13" s="50"/>
      <c r="T13" s="24"/>
      <c r="U13" s="50"/>
      <c r="V13" s="50"/>
      <c r="W13" s="49"/>
      <c r="X13" s="49"/>
      <c r="Y13" s="24" t="s">
        <v>79</v>
      </c>
      <c r="Z13" s="24">
        <v>782.32</v>
      </c>
      <c r="AA13" s="24"/>
      <c r="AB13" s="24"/>
      <c r="AC13" s="24"/>
      <c r="AD13" s="24"/>
      <c r="AE13" s="24"/>
      <c r="AF13" s="24"/>
    </row>
    <row r="14" ht="15.75" customHeight="1">
      <c r="A14" s="55" t="s">
        <v>83</v>
      </c>
      <c r="B14" s="27">
        <v>534506.0</v>
      </c>
      <c r="C14" s="56">
        <v>2968.53</v>
      </c>
      <c r="D14" s="57">
        <f t="shared" si="1"/>
        <v>180.0574695</v>
      </c>
      <c r="E14" s="27">
        <v>536406.0</v>
      </c>
      <c r="F14" s="56">
        <v>2968.53</v>
      </c>
      <c r="G14" s="57">
        <f>E14/$F$14</f>
        <v>180.697517</v>
      </c>
      <c r="H14" s="27">
        <v>538632.0</v>
      </c>
      <c r="I14" s="56">
        <v>2968.53</v>
      </c>
      <c r="J14" s="57">
        <f t="shared" si="2"/>
        <v>181.447383</v>
      </c>
      <c r="K14" s="27">
        <v>542082.0</v>
      </c>
      <c r="L14" s="56">
        <v>2968.53</v>
      </c>
      <c r="M14" s="57">
        <f t="shared" si="3"/>
        <v>182.6095744</v>
      </c>
      <c r="N14" s="24"/>
      <c r="O14" s="50"/>
      <c r="P14" s="50"/>
      <c r="Q14" s="24"/>
      <c r="R14" s="50"/>
      <c r="S14" s="50"/>
      <c r="T14" s="24"/>
      <c r="U14" s="50"/>
      <c r="V14" s="50"/>
      <c r="W14" s="49"/>
      <c r="X14" s="49"/>
      <c r="Y14" s="24" t="s">
        <v>80</v>
      </c>
      <c r="Z14" s="59">
        <v>2341.84</v>
      </c>
      <c r="AA14" s="24"/>
      <c r="AB14" s="24"/>
      <c r="AC14" s="24"/>
      <c r="AD14" s="24"/>
      <c r="AE14" s="24"/>
      <c r="AF14" s="24"/>
    </row>
    <row r="15" ht="15.75" customHeight="1">
      <c r="A15" s="55" t="s">
        <v>84</v>
      </c>
      <c r="B15" s="27">
        <v>178784.0</v>
      </c>
      <c r="C15" s="56">
        <v>3195.68</v>
      </c>
      <c r="D15" s="57">
        <f t="shared" si="1"/>
        <v>55.94552646</v>
      </c>
      <c r="E15" s="27">
        <v>178795.0</v>
      </c>
      <c r="F15" s="56">
        <v>3195.68</v>
      </c>
      <c r="G15" s="57">
        <f>E15/$F$15</f>
        <v>55.94896861</v>
      </c>
      <c r="H15" s="27">
        <v>178873.0</v>
      </c>
      <c r="I15" s="56">
        <v>3195.68</v>
      </c>
      <c r="J15" s="57">
        <f t="shared" si="2"/>
        <v>55.97337656</v>
      </c>
      <c r="K15" s="27">
        <v>179051.0</v>
      </c>
      <c r="L15" s="56">
        <v>3195.68</v>
      </c>
      <c r="M15" s="57">
        <f t="shared" si="3"/>
        <v>56.02907675</v>
      </c>
      <c r="N15" s="49"/>
      <c r="O15" s="49"/>
      <c r="P15" s="49"/>
      <c r="Q15" s="49"/>
      <c r="R15" s="49"/>
      <c r="S15" s="49"/>
      <c r="T15" s="49"/>
      <c r="U15" s="49"/>
      <c r="V15" s="49"/>
      <c r="W15" s="49"/>
      <c r="X15" s="49"/>
      <c r="Y15" s="24" t="s">
        <v>81</v>
      </c>
      <c r="Z15" s="59">
        <v>1574.45</v>
      </c>
      <c r="AA15" s="24"/>
      <c r="AB15" s="24"/>
      <c r="AC15" s="24"/>
      <c r="AD15" s="24"/>
      <c r="AE15" s="24"/>
      <c r="AF15" s="24"/>
    </row>
    <row r="16" ht="15.75" customHeight="1">
      <c r="A16" s="55" t="s">
        <v>85</v>
      </c>
      <c r="B16" s="27">
        <v>877668.0</v>
      </c>
      <c r="C16" s="56">
        <v>1198.25</v>
      </c>
      <c r="D16" s="57">
        <f t="shared" si="1"/>
        <v>732.4581682</v>
      </c>
      <c r="E16" s="27">
        <v>879731.0</v>
      </c>
      <c r="F16" s="56">
        <v>1198.25</v>
      </c>
      <c r="G16" s="57">
        <f>E16/$F$16</f>
        <v>734.1798456</v>
      </c>
      <c r="H16" s="27">
        <v>880257.0</v>
      </c>
      <c r="I16" s="56">
        <v>1198.25</v>
      </c>
      <c r="J16" s="57">
        <f t="shared" si="2"/>
        <v>734.6188191</v>
      </c>
      <c r="K16" s="27">
        <v>881907.0</v>
      </c>
      <c r="L16" s="56">
        <v>1198.25</v>
      </c>
      <c r="M16" s="57">
        <f t="shared" si="3"/>
        <v>735.9958272</v>
      </c>
      <c r="N16" s="49"/>
      <c r="O16" s="49"/>
      <c r="P16" s="49"/>
      <c r="Q16" s="49"/>
      <c r="R16" s="49"/>
      <c r="S16" s="49"/>
      <c r="T16" s="49"/>
      <c r="U16" s="49"/>
      <c r="V16" s="49"/>
      <c r="W16" s="49"/>
      <c r="X16" s="49"/>
      <c r="Y16" s="24" t="s">
        <v>82</v>
      </c>
      <c r="Z16" s="24">
        <v>405.65</v>
      </c>
      <c r="AA16" s="24"/>
      <c r="AB16" s="24"/>
      <c r="AC16" s="24"/>
      <c r="AD16" s="24"/>
      <c r="AE16" s="24"/>
      <c r="AF16" s="24"/>
    </row>
    <row r="17" ht="15.75" customHeight="1">
      <c r="A17" s="55" t="s">
        <v>43</v>
      </c>
      <c r="B17" s="27">
        <v>9943004.0</v>
      </c>
      <c r="C17" s="56">
        <v>23863.09</v>
      </c>
      <c r="D17" s="57">
        <f t="shared" si="1"/>
        <v>416.668755</v>
      </c>
      <c r="E17" s="27">
        <v>9976509.0</v>
      </c>
      <c r="F17" s="56">
        <v>23863.09</v>
      </c>
      <c r="G17" s="57">
        <f>E17/$F$17</f>
        <v>418.0728062</v>
      </c>
      <c r="H17" s="27">
        <v>1.0012054E7</v>
      </c>
      <c r="I17" s="56">
        <v>23863.09</v>
      </c>
      <c r="J17" s="57">
        <f t="shared" si="2"/>
        <v>419.562345</v>
      </c>
      <c r="K17" s="27">
        <v>1.0035481E7</v>
      </c>
      <c r="L17" s="56">
        <v>23863.09</v>
      </c>
      <c r="M17" s="57">
        <f t="shared" si="3"/>
        <v>420.5440704</v>
      </c>
      <c r="N17" s="24"/>
      <c r="O17" s="50"/>
      <c r="P17" s="50"/>
      <c r="Q17" s="24"/>
      <c r="R17" s="50"/>
      <c r="S17" s="50"/>
      <c r="T17" s="49"/>
      <c r="U17" s="49"/>
      <c r="V17" s="49"/>
      <c r="W17" s="49"/>
      <c r="X17" s="49"/>
      <c r="Y17" s="24" t="s">
        <v>84</v>
      </c>
      <c r="Z17" s="59">
        <v>3194.89</v>
      </c>
      <c r="AA17" s="24"/>
      <c r="AB17" s="24"/>
      <c r="AC17" s="24"/>
      <c r="AD17" s="24"/>
      <c r="AE17" s="24"/>
      <c r="AF17" s="24"/>
    </row>
    <row r="18" ht="15.75" customHeight="1">
      <c r="A18" s="55" t="s">
        <v>42</v>
      </c>
      <c r="B18" s="27">
        <v>5.9030133E7</v>
      </c>
      <c r="C18" s="57">
        <v>302109.57</v>
      </c>
      <c r="D18" s="57">
        <f t="shared" si="1"/>
        <v>195.3931251</v>
      </c>
      <c r="E18" s="27">
        <v>5.8997201E7</v>
      </c>
      <c r="F18" s="57">
        <v>302109.57</v>
      </c>
      <c r="G18" s="57">
        <f>E18/$F$18</f>
        <v>195.2841183</v>
      </c>
      <c r="H18" s="60">
        <v>5.8989749E7</v>
      </c>
      <c r="I18" s="57">
        <v>302109.57</v>
      </c>
      <c r="J18" s="57">
        <f t="shared" si="2"/>
        <v>195.2594517</v>
      </c>
      <c r="K18" s="27">
        <v>5.8934177E7</v>
      </c>
      <c r="L18" s="57">
        <v>302109.57</v>
      </c>
      <c r="M18" s="57">
        <f t="shared" si="3"/>
        <v>195.0755052</v>
      </c>
      <c r="N18" s="61"/>
      <c r="O18" s="62"/>
      <c r="P18" s="63"/>
      <c r="Q18" s="64"/>
      <c r="R18" s="62"/>
      <c r="S18" s="65"/>
      <c r="T18" s="49"/>
      <c r="U18" s="49"/>
      <c r="V18" s="49"/>
      <c r="W18" s="49"/>
      <c r="X18" s="49"/>
      <c r="Y18" s="24" t="s">
        <v>83</v>
      </c>
      <c r="Z18" s="59">
        <v>2967.93</v>
      </c>
      <c r="AA18" s="24"/>
      <c r="AB18" s="24"/>
      <c r="AC18" s="24"/>
      <c r="AD18" s="24"/>
      <c r="AE18" s="24"/>
      <c r="AF18" s="24"/>
    </row>
    <row r="19">
      <c r="A19" s="24" t="s">
        <v>45</v>
      </c>
      <c r="B19" s="50"/>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row>
    <row r="20" ht="15.75" customHeight="1">
      <c r="A20" s="49"/>
      <c r="B20" s="49"/>
      <c r="C20" s="66"/>
      <c r="D20" s="49"/>
      <c r="E20" s="49"/>
      <c r="F20" s="49"/>
      <c r="G20" s="49"/>
      <c r="H20" s="49"/>
      <c r="I20" s="49"/>
      <c r="J20" s="49"/>
      <c r="K20" s="49"/>
      <c r="L20" s="49"/>
      <c r="M20" s="49"/>
      <c r="N20" s="49"/>
      <c r="O20" s="49"/>
      <c r="P20" s="49"/>
      <c r="Q20" s="49"/>
      <c r="R20" s="49"/>
      <c r="S20" s="49"/>
      <c r="T20" s="49"/>
      <c r="U20" s="49"/>
      <c r="V20" s="49"/>
      <c r="W20" s="49"/>
      <c r="X20" s="49"/>
      <c r="Y20" s="24" t="s">
        <v>85</v>
      </c>
      <c r="Z20" s="59">
        <v>1199.25</v>
      </c>
      <c r="AA20" s="24"/>
      <c r="AB20" s="24"/>
      <c r="AC20" s="24"/>
      <c r="AD20" s="24"/>
      <c r="AE20" s="24"/>
      <c r="AF20" s="24"/>
    </row>
    <row r="21" ht="15.75" customHeight="1">
      <c r="A21" s="50"/>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24"/>
      <c r="AB21" s="24"/>
      <c r="AC21" s="24"/>
      <c r="AD21" s="24"/>
      <c r="AE21" s="24"/>
      <c r="AF21" s="24"/>
    </row>
    <row r="22" ht="15.75" customHeight="1">
      <c r="A22" s="49"/>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24"/>
      <c r="AB22" s="24"/>
      <c r="AC22" s="24"/>
      <c r="AD22" s="24"/>
      <c r="AE22" s="24"/>
      <c r="AF22" s="24"/>
    </row>
    <row r="23" ht="15.75" customHeight="1">
      <c r="A23" s="49"/>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24"/>
      <c r="AB23" s="24"/>
      <c r="AC23" s="24"/>
      <c r="AD23" s="24"/>
      <c r="AE23" s="24"/>
      <c r="AF23" s="24"/>
    </row>
    <row r="24" ht="15.75" customHeight="1">
      <c r="A24" s="49"/>
      <c r="B24" s="51"/>
      <c r="E24" s="51"/>
      <c r="H24" s="51"/>
      <c r="K24" s="51"/>
      <c r="N24" s="51"/>
      <c r="Q24" s="51"/>
      <c r="T24" s="51"/>
      <c r="W24" s="49"/>
      <c r="X24" s="49"/>
      <c r="Y24" s="49"/>
      <c r="Z24" s="49"/>
      <c r="AA24" s="24"/>
      <c r="AB24" s="24"/>
      <c r="AC24" s="24"/>
      <c r="AD24" s="24"/>
      <c r="AE24" s="24"/>
      <c r="AF24" s="24"/>
    </row>
    <row r="25" ht="15.75" customHeight="1">
      <c r="A25" s="49"/>
      <c r="B25" s="53"/>
      <c r="C25" s="53"/>
      <c r="D25" s="53"/>
      <c r="E25" s="53"/>
      <c r="F25" s="53"/>
      <c r="G25" s="53"/>
      <c r="H25" s="53"/>
      <c r="I25" s="53"/>
      <c r="J25" s="53"/>
      <c r="K25" s="53"/>
      <c r="L25" s="53"/>
      <c r="M25" s="53"/>
      <c r="N25" s="53"/>
      <c r="O25" s="53"/>
      <c r="P25" s="53"/>
      <c r="Q25" s="53"/>
      <c r="R25" s="53"/>
      <c r="S25" s="53"/>
      <c r="T25" s="53"/>
      <c r="U25" s="53"/>
      <c r="V25" s="53"/>
      <c r="W25" s="49"/>
      <c r="X25" s="49"/>
      <c r="Y25" s="49"/>
      <c r="Z25" s="49"/>
      <c r="AA25" s="24"/>
      <c r="AB25" s="24"/>
      <c r="AC25" s="24"/>
      <c r="AD25" s="24"/>
      <c r="AE25" s="24"/>
      <c r="AF25" s="24"/>
    </row>
    <row r="26" ht="15.75" customHeight="1">
      <c r="A26" s="49"/>
      <c r="W26" s="49"/>
      <c r="X26" s="49"/>
      <c r="Y26" s="49"/>
      <c r="Z26" s="49"/>
      <c r="AA26" s="24"/>
      <c r="AB26" s="24"/>
      <c r="AC26" s="24"/>
      <c r="AD26" s="24"/>
      <c r="AE26" s="24"/>
      <c r="AF26" s="24"/>
    </row>
    <row r="27" ht="15.75" customHeight="1">
      <c r="A27" s="49"/>
      <c r="B27" s="67"/>
      <c r="C27" s="68"/>
      <c r="D27" s="69"/>
      <c r="E27" s="69"/>
      <c r="F27" s="50"/>
      <c r="G27" s="70"/>
      <c r="H27" s="64"/>
      <c r="I27" s="34"/>
      <c r="J27" s="63"/>
      <c r="K27" s="64"/>
      <c r="L27" s="34"/>
      <c r="M27" s="63"/>
      <c r="N27" s="71"/>
      <c r="O27" s="71"/>
      <c r="P27" s="71"/>
      <c r="Q27" s="71"/>
      <c r="R27" s="71"/>
      <c r="S27" s="63"/>
      <c r="T27" s="64"/>
      <c r="U27" s="34"/>
      <c r="V27" s="63"/>
      <c r="W27" s="49"/>
      <c r="X27" s="49"/>
      <c r="Y27" s="49"/>
      <c r="Z27" s="49"/>
      <c r="AA27" s="24"/>
      <c r="AB27" s="24"/>
      <c r="AC27" s="24"/>
      <c r="AD27" s="24"/>
      <c r="AE27" s="24"/>
      <c r="AF27" s="24"/>
    </row>
    <row r="28" ht="15.75" customHeight="1">
      <c r="A28" s="72"/>
      <c r="B28" s="67"/>
      <c r="C28" s="68"/>
      <c r="D28" s="69"/>
      <c r="E28" s="69"/>
      <c r="F28" s="50"/>
      <c r="G28" s="70"/>
      <c r="H28" s="64"/>
      <c r="I28" s="34"/>
      <c r="J28" s="63"/>
      <c r="K28" s="64"/>
      <c r="L28" s="34"/>
      <c r="M28" s="63"/>
      <c r="N28" s="71"/>
      <c r="O28" s="71"/>
      <c r="P28" s="71"/>
      <c r="Q28" s="71"/>
      <c r="R28" s="71"/>
      <c r="S28" s="63"/>
      <c r="T28" s="64"/>
      <c r="U28" s="34"/>
      <c r="V28" s="63"/>
      <c r="W28" s="49"/>
      <c r="X28" s="49"/>
      <c r="Y28" s="49"/>
      <c r="Z28" s="49"/>
      <c r="AA28" s="24"/>
      <c r="AB28" s="24"/>
      <c r="AC28" s="24"/>
      <c r="AD28" s="24"/>
      <c r="AE28" s="24"/>
      <c r="AF28" s="24"/>
    </row>
    <row r="29" ht="15.75" customHeight="1">
      <c r="A29" s="49"/>
      <c r="B29" s="67"/>
      <c r="C29" s="68"/>
      <c r="D29" s="69"/>
      <c r="E29" s="69"/>
      <c r="F29" s="50"/>
      <c r="G29" s="70"/>
      <c r="H29" s="64"/>
      <c r="I29" s="34"/>
      <c r="J29" s="63"/>
      <c r="K29" s="64"/>
      <c r="L29" s="34"/>
      <c r="M29" s="63"/>
      <c r="N29" s="71"/>
      <c r="O29" s="71"/>
      <c r="P29" s="71"/>
      <c r="Q29" s="71"/>
      <c r="R29" s="71"/>
      <c r="S29" s="63"/>
      <c r="T29" s="64"/>
      <c r="U29" s="34"/>
      <c r="V29" s="63"/>
      <c r="W29" s="49"/>
      <c r="X29" s="49"/>
      <c r="Y29" s="49"/>
      <c r="Z29" s="49"/>
      <c r="AA29" s="24"/>
      <c r="AB29" s="24"/>
      <c r="AC29" s="24"/>
      <c r="AD29" s="24"/>
      <c r="AE29" s="24"/>
      <c r="AF29" s="24"/>
    </row>
    <row r="30" ht="15.75" customHeight="1">
      <c r="A30" s="49"/>
      <c r="B30" s="67"/>
      <c r="C30" s="68"/>
      <c r="D30" s="73"/>
      <c r="E30" s="73"/>
      <c r="F30" s="50"/>
      <c r="G30" s="70"/>
      <c r="H30" s="64"/>
      <c r="I30" s="34"/>
      <c r="J30" s="63"/>
      <c r="K30" s="64"/>
      <c r="L30" s="34"/>
      <c r="M30" s="63"/>
      <c r="N30" s="71"/>
      <c r="O30" s="71"/>
      <c r="P30" s="71"/>
      <c r="Q30" s="71"/>
      <c r="R30" s="71"/>
      <c r="S30" s="63"/>
      <c r="T30" s="64"/>
      <c r="U30" s="34"/>
      <c r="V30" s="63"/>
      <c r="W30" s="49"/>
      <c r="X30" s="49"/>
      <c r="Y30" s="49"/>
      <c r="Z30" s="49"/>
      <c r="AA30" s="24"/>
      <c r="AB30" s="24"/>
      <c r="AC30" s="24"/>
      <c r="AD30" s="24"/>
      <c r="AE30" s="24"/>
      <c r="AF30" s="24"/>
    </row>
    <row r="31" ht="15.75" customHeight="1">
      <c r="A31" s="49"/>
      <c r="B31" s="67"/>
      <c r="C31" s="68"/>
      <c r="D31" s="73"/>
      <c r="E31" s="69"/>
      <c r="F31" s="50"/>
      <c r="G31" s="70"/>
      <c r="H31" s="64"/>
      <c r="I31" s="34"/>
      <c r="J31" s="63"/>
      <c r="K31" s="64"/>
      <c r="L31" s="34"/>
      <c r="M31" s="63"/>
      <c r="N31" s="71"/>
      <c r="O31" s="71"/>
      <c r="P31" s="71"/>
      <c r="Q31" s="71"/>
      <c r="R31" s="71"/>
      <c r="S31" s="63"/>
      <c r="T31" s="64"/>
      <c r="U31" s="34"/>
      <c r="V31" s="63"/>
      <c r="W31" s="49"/>
      <c r="X31" s="49"/>
      <c r="Y31" s="49"/>
      <c r="Z31" s="49"/>
      <c r="AA31" s="24"/>
      <c r="AB31" s="24"/>
      <c r="AC31" s="24"/>
      <c r="AD31" s="24"/>
      <c r="AE31" s="24"/>
      <c r="AF31" s="24"/>
    </row>
    <row r="32" ht="15.75" customHeight="1">
      <c r="A32" s="49"/>
      <c r="B32" s="67"/>
      <c r="C32" s="68"/>
      <c r="D32" s="73"/>
      <c r="E32" s="69"/>
      <c r="F32" s="50"/>
      <c r="G32" s="70"/>
      <c r="H32" s="64"/>
      <c r="I32" s="34"/>
      <c r="J32" s="63"/>
      <c r="K32" s="64"/>
      <c r="L32" s="34"/>
      <c r="M32" s="63"/>
      <c r="N32" s="71"/>
      <c r="O32" s="71"/>
      <c r="P32" s="71"/>
      <c r="Q32" s="71"/>
      <c r="R32" s="71"/>
      <c r="S32" s="63"/>
      <c r="T32" s="64"/>
      <c r="U32" s="34"/>
      <c r="V32" s="63"/>
      <c r="W32" s="49"/>
      <c r="X32" s="49"/>
      <c r="Y32" s="49"/>
      <c r="Z32" s="49"/>
      <c r="AA32" s="24"/>
      <c r="AB32" s="24"/>
      <c r="AC32" s="24"/>
      <c r="AD32" s="24"/>
      <c r="AE32" s="24"/>
      <c r="AF32" s="24"/>
    </row>
    <row r="33" ht="15.75" customHeight="1">
      <c r="A33" s="49"/>
      <c r="B33" s="67"/>
      <c r="C33" s="68"/>
      <c r="D33" s="69"/>
      <c r="E33" s="69"/>
      <c r="F33" s="50"/>
      <c r="G33" s="70"/>
      <c r="H33" s="64"/>
      <c r="I33" s="34"/>
      <c r="J33" s="63"/>
      <c r="K33" s="64"/>
      <c r="L33" s="34"/>
      <c r="M33" s="63"/>
      <c r="N33" s="71"/>
      <c r="O33" s="71"/>
      <c r="P33" s="71"/>
      <c r="Q33" s="71"/>
      <c r="R33" s="71"/>
      <c r="S33" s="63"/>
      <c r="T33" s="64"/>
      <c r="U33" s="34"/>
      <c r="V33" s="63"/>
      <c r="W33" s="49"/>
      <c r="X33" s="49"/>
      <c r="Y33" s="49"/>
      <c r="Z33" s="49"/>
      <c r="AA33" s="24"/>
      <c r="AB33" s="24"/>
      <c r="AC33" s="24"/>
      <c r="AD33" s="24"/>
      <c r="AE33" s="24"/>
      <c r="AF33" s="24"/>
    </row>
    <row r="34" ht="15.75" customHeight="1">
      <c r="A34" s="49"/>
      <c r="B34" s="67"/>
      <c r="C34" s="68"/>
      <c r="D34" s="69"/>
      <c r="E34" s="69"/>
      <c r="F34" s="50"/>
      <c r="G34" s="70"/>
      <c r="H34" s="64"/>
      <c r="I34" s="34"/>
      <c r="J34" s="63"/>
      <c r="K34" s="64"/>
      <c r="L34" s="34"/>
      <c r="M34" s="63"/>
      <c r="N34" s="71"/>
      <c r="O34" s="71"/>
      <c r="P34" s="71"/>
      <c r="Q34" s="71"/>
      <c r="R34" s="71"/>
      <c r="S34" s="63"/>
      <c r="T34" s="64"/>
      <c r="U34" s="34"/>
      <c r="V34" s="63"/>
      <c r="W34" s="49"/>
      <c r="X34" s="49"/>
      <c r="Y34" s="49"/>
      <c r="Z34" s="49"/>
      <c r="AA34" s="24"/>
      <c r="AB34" s="24"/>
      <c r="AC34" s="24"/>
      <c r="AD34" s="24"/>
      <c r="AE34" s="24"/>
      <c r="AF34" s="24"/>
    </row>
    <row r="35" ht="15.75" customHeight="1">
      <c r="A35" s="49"/>
      <c r="B35" s="67"/>
      <c r="C35" s="68"/>
      <c r="D35" s="69"/>
      <c r="E35" s="69"/>
      <c r="F35" s="50"/>
      <c r="G35" s="70"/>
      <c r="H35" s="64"/>
      <c r="I35" s="34"/>
      <c r="J35" s="63"/>
      <c r="K35" s="64"/>
      <c r="L35" s="34"/>
      <c r="M35" s="63"/>
      <c r="N35" s="71"/>
      <c r="O35" s="71"/>
      <c r="P35" s="71"/>
      <c r="Q35" s="71"/>
      <c r="R35" s="71"/>
      <c r="S35" s="63"/>
      <c r="T35" s="64"/>
      <c r="U35" s="34"/>
      <c r="V35" s="63"/>
      <c r="W35" s="49"/>
      <c r="X35" s="49"/>
      <c r="Y35" s="49"/>
      <c r="Z35" s="49"/>
      <c r="AA35" s="24"/>
      <c r="AB35" s="24"/>
      <c r="AC35" s="24"/>
      <c r="AD35" s="24"/>
      <c r="AE35" s="24"/>
      <c r="AF35" s="24"/>
    </row>
    <row r="36" ht="15.75" customHeight="1">
      <c r="A36" s="49"/>
      <c r="B36" s="74"/>
      <c r="C36" s="68"/>
      <c r="D36" s="69"/>
      <c r="E36" s="69"/>
      <c r="F36" s="50"/>
      <c r="G36" s="70"/>
      <c r="H36" s="64"/>
      <c r="I36" s="62"/>
      <c r="J36" s="65"/>
      <c r="K36" s="64"/>
      <c r="L36" s="62"/>
      <c r="M36" s="65"/>
      <c r="N36" s="71"/>
      <c r="O36" s="71"/>
      <c r="P36" s="71"/>
      <c r="Q36" s="71"/>
      <c r="R36" s="71"/>
      <c r="S36" s="63"/>
      <c r="T36" s="64"/>
      <c r="U36" s="62"/>
      <c r="V36" s="65"/>
      <c r="W36" s="49"/>
      <c r="X36" s="49"/>
      <c r="Y36" s="49"/>
      <c r="Z36" s="49"/>
      <c r="AA36" s="24"/>
      <c r="AB36" s="24"/>
      <c r="AC36" s="24"/>
      <c r="AD36" s="24"/>
      <c r="AE36" s="24"/>
      <c r="AF36" s="24"/>
    </row>
    <row r="37" ht="15.75" customHeight="1">
      <c r="A37" s="49"/>
      <c r="B37" s="49"/>
      <c r="C37" s="75"/>
      <c r="D37" s="69"/>
      <c r="E37" s="69"/>
      <c r="F37" s="50"/>
      <c r="G37" s="75"/>
      <c r="H37" s="49"/>
      <c r="I37" s="49"/>
      <c r="J37" s="49"/>
      <c r="K37" s="49"/>
      <c r="L37" s="49"/>
      <c r="M37" s="49"/>
      <c r="N37" s="71"/>
      <c r="O37" s="71"/>
      <c r="P37" s="71"/>
      <c r="Q37" s="71"/>
      <c r="R37" s="71"/>
      <c r="S37" s="49"/>
      <c r="T37" s="49"/>
      <c r="U37" s="49"/>
      <c r="V37" s="49"/>
      <c r="W37" s="49"/>
      <c r="X37" s="49"/>
      <c r="Y37" s="49"/>
      <c r="Z37" s="49"/>
      <c r="AA37" s="24"/>
      <c r="AB37" s="24"/>
      <c r="AC37" s="24"/>
      <c r="AD37" s="24"/>
      <c r="AE37" s="24"/>
      <c r="AF37" s="24"/>
    </row>
    <row r="38" ht="15.75" customHeight="1">
      <c r="A38" s="49"/>
      <c r="B38" s="49"/>
      <c r="C38" s="75"/>
      <c r="D38" s="49"/>
      <c r="E38" s="49"/>
      <c r="F38" s="50"/>
      <c r="G38" s="49"/>
      <c r="H38" s="49"/>
      <c r="I38" s="49"/>
      <c r="J38" s="49"/>
      <c r="K38" s="49"/>
      <c r="L38" s="49"/>
      <c r="M38" s="49"/>
      <c r="N38" s="71"/>
      <c r="O38" s="71"/>
      <c r="P38" s="71"/>
      <c r="Q38" s="71"/>
      <c r="R38" s="71"/>
      <c r="S38" s="49"/>
      <c r="T38" s="49"/>
      <c r="U38" s="49"/>
      <c r="V38" s="49"/>
      <c r="W38" s="49"/>
      <c r="X38" s="49"/>
      <c r="Y38" s="49"/>
      <c r="Z38" s="49"/>
      <c r="AA38" s="24"/>
      <c r="AB38" s="24"/>
      <c r="AC38" s="24"/>
      <c r="AD38" s="24"/>
      <c r="AE38" s="24"/>
      <c r="AF38" s="24"/>
    </row>
    <row r="39" ht="15.75" customHeight="1">
      <c r="A39" s="49"/>
      <c r="B39" s="49"/>
      <c r="C39" s="49"/>
      <c r="D39" s="49"/>
      <c r="E39" s="49"/>
      <c r="F39" s="49"/>
      <c r="G39" s="49"/>
      <c r="H39" s="49"/>
      <c r="I39" s="49"/>
      <c r="J39" s="49"/>
      <c r="K39" s="49"/>
      <c r="L39" s="49"/>
      <c r="M39" s="49"/>
      <c r="N39" s="71"/>
      <c r="O39" s="71"/>
      <c r="P39" s="71"/>
      <c r="Q39" s="71"/>
      <c r="R39" s="76"/>
      <c r="S39" s="49"/>
      <c r="T39" s="49"/>
      <c r="U39" s="49"/>
      <c r="V39" s="49"/>
      <c r="W39" s="49"/>
      <c r="X39" s="49"/>
      <c r="Y39" s="49"/>
      <c r="Z39" s="49"/>
      <c r="AA39" s="24"/>
      <c r="AB39" s="24"/>
      <c r="AC39" s="24"/>
      <c r="AD39" s="24"/>
      <c r="AE39" s="24"/>
      <c r="AF39" s="24"/>
    </row>
    <row r="40" ht="15.75" customHeight="1">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24"/>
      <c r="AB40" s="24"/>
      <c r="AC40" s="24"/>
      <c r="AD40" s="24"/>
      <c r="AE40" s="24"/>
      <c r="AF40" s="24"/>
    </row>
    <row r="41" ht="15.75" customHeight="1">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24"/>
      <c r="AB41" s="24"/>
      <c r="AC41" s="24"/>
      <c r="AD41" s="24"/>
      <c r="AE41" s="24"/>
      <c r="AF41" s="24"/>
    </row>
    <row r="42" ht="15.75" customHeight="1">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24"/>
      <c r="AB42" s="24"/>
      <c r="AC42" s="24"/>
      <c r="AD42" s="24"/>
      <c r="AE42" s="24"/>
      <c r="AF42" s="24"/>
    </row>
    <row r="43" ht="15.75" customHeight="1">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24"/>
      <c r="AB43" s="24"/>
      <c r="AC43" s="24"/>
      <c r="AD43" s="24"/>
      <c r="AE43" s="24"/>
      <c r="AF43" s="24"/>
    </row>
    <row r="44" ht="15.75" customHeight="1">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24"/>
      <c r="AB44" s="24"/>
      <c r="AC44" s="24"/>
      <c r="AD44" s="24"/>
      <c r="AE44" s="24"/>
      <c r="AF44" s="24"/>
    </row>
    <row r="45" ht="15.75" customHeight="1">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24"/>
      <c r="AB45" s="24"/>
      <c r="AC45" s="24"/>
      <c r="AD45" s="24"/>
      <c r="AE45" s="24"/>
      <c r="AF45" s="24"/>
    </row>
    <row r="46" ht="15.75" customHeight="1">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24"/>
      <c r="AB46" s="24"/>
      <c r="AC46" s="24"/>
      <c r="AD46" s="24"/>
      <c r="AE46" s="24"/>
      <c r="AF46" s="24"/>
    </row>
    <row r="47" ht="15.75" customHeight="1">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24"/>
      <c r="AB47" s="24"/>
      <c r="AC47" s="24"/>
      <c r="AD47" s="24"/>
      <c r="AE47" s="24"/>
      <c r="AF47" s="24"/>
    </row>
    <row r="48" ht="15.75" customHeight="1">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24"/>
      <c r="AB48" s="24"/>
      <c r="AC48" s="24"/>
      <c r="AD48" s="24"/>
      <c r="AE48" s="24"/>
      <c r="AF48" s="24"/>
    </row>
    <row r="49" ht="15.75" customHeight="1">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24"/>
      <c r="AB49" s="24"/>
      <c r="AC49" s="24"/>
      <c r="AD49" s="24"/>
      <c r="AE49" s="24"/>
      <c r="AF49" s="24"/>
    </row>
    <row r="50" ht="15.75" customHeight="1">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24"/>
      <c r="AB50" s="24"/>
      <c r="AC50" s="24"/>
      <c r="AD50" s="24"/>
      <c r="AE50" s="24"/>
      <c r="AF50" s="24"/>
    </row>
    <row r="51" ht="15.75" customHeight="1">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24"/>
      <c r="AB51" s="24"/>
      <c r="AC51" s="24"/>
      <c r="AD51" s="24"/>
      <c r="AE51" s="24"/>
      <c r="AF51" s="24"/>
    </row>
    <row r="52" ht="15.75" customHeight="1">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24"/>
      <c r="AB52" s="24"/>
      <c r="AC52" s="24"/>
      <c r="AD52" s="24"/>
      <c r="AE52" s="24"/>
      <c r="AF52" s="24"/>
    </row>
    <row r="53" ht="15.75" customHeight="1">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24"/>
      <c r="AB53" s="24"/>
      <c r="AC53" s="24"/>
      <c r="AD53" s="24"/>
      <c r="AE53" s="24"/>
      <c r="AF53" s="24"/>
    </row>
    <row r="54" ht="15.75" customHeight="1">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24"/>
      <c r="AB54" s="24"/>
      <c r="AC54" s="24"/>
      <c r="AD54" s="24"/>
      <c r="AE54" s="24"/>
      <c r="AF54" s="24"/>
    </row>
    <row r="55" ht="15.75" customHeight="1">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24"/>
      <c r="AB55" s="24"/>
      <c r="AC55" s="24"/>
      <c r="AD55" s="24"/>
      <c r="AE55" s="24"/>
      <c r="AF55" s="24"/>
    </row>
    <row r="56" ht="15.75" customHeight="1">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24"/>
      <c r="AB56" s="24"/>
      <c r="AC56" s="24"/>
      <c r="AD56" s="24"/>
      <c r="AE56" s="24"/>
      <c r="AF56" s="24"/>
    </row>
    <row r="57" ht="15.75" customHeight="1">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24"/>
      <c r="AB57" s="24"/>
      <c r="AC57" s="24"/>
      <c r="AD57" s="24"/>
      <c r="AE57" s="24"/>
      <c r="AF57" s="24"/>
    </row>
    <row r="58" ht="15.75" customHeight="1">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24"/>
      <c r="AB58" s="24"/>
      <c r="AC58" s="24"/>
      <c r="AD58" s="24"/>
      <c r="AE58" s="24"/>
      <c r="AF58" s="24"/>
    </row>
    <row r="59" ht="15.75" customHeight="1">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24"/>
      <c r="AB59" s="24"/>
      <c r="AC59" s="24"/>
      <c r="AD59" s="24"/>
      <c r="AE59" s="24"/>
      <c r="AF59" s="24"/>
    </row>
    <row r="60" ht="15.75" customHeight="1">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24"/>
      <c r="AB60" s="24"/>
      <c r="AC60" s="24"/>
      <c r="AD60" s="24"/>
      <c r="AE60" s="24"/>
      <c r="AF60" s="24"/>
    </row>
    <row r="61" ht="15.75" customHeight="1">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24"/>
      <c r="AB61" s="24"/>
      <c r="AC61" s="24"/>
      <c r="AD61" s="24"/>
      <c r="AE61" s="24"/>
      <c r="AF61" s="24"/>
    </row>
    <row r="62" ht="15.75" customHeight="1">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24"/>
      <c r="AB62" s="24"/>
      <c r="AC62" s="24"/>
      <c r="AD62" s="24"/>
      <c r="AE62" s="24"/>
      <c r="AF62" s="24"/>
    </row>
    <row r="63" ht="15.75" customHeight="1">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24"/>
      <c r="AB63" s="24"/>
      <c r="AC63" s="24"/>
      <c r="AD63" s="24"/>
      <c r="AE63" s="24"/>
      <c r="AF63" s="24"/>
    </row>
    <row r="64" ht="15.75" customHeight="1">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24"/>
      <c r="AB64" s="24"/>
      <c r="AC64" s="24"/>
      <c r="AD64" s="24"/>
      <c r="AE64" s="24"/>
      <c r="AF64" s="24"/>
    </row>
    <row r="65" ht="15.75" customHeight="1">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24"/>
      <c r="AB65" s="24"/>
      <c r="AC65" s="24"/>
      <c r="AD65" s="24"/>
      <c r="AE65" s="24"/>
      <c r="AF65" s="24"/>
    </row>
    <row r="66" ht="15.75" customHeight="1">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24"/>
      <c r="AB66" s="24"/>
      <c r="AC66" s="24"/>
      <c r="AD66" s="24"/>
      <c r="AE66" s="24"/>
      <c r="AF66" s="24"/>
    </row>
    <row r="67" ht="15.75" customHeight="1">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24"/>
      <c r="AB67" s="24"/>
      <c r="AC67" s="24"/>
      <c r="AD67" s="24"/>
      <c r="AE67" s="24"/>
      <c r="AF67" s="24"/>
    </row>
    <row r="68" ht="15.75" customHeight="1">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24"/>
      <c r="AB68" s="24"/>
      <c r="AC68" s="24"/>
      <c r="AD68" s="24"/>
      <c r="AE68" s="24"/>
      <c r="AF68" s="24"/>
    </row>
    <row r="69" ht="15.75" customHeight="1">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24"/>
      <c r="AB69" s="24"/>
      <c r="AC69" s="24"/>
      <c r="AD69" s="24"/>
      <c r="AE69" s="24"/>
      <c r="AF69" s="24"/>
    </row>
    <row r="70" ht="15.75" customHeight="1">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24"/>
      <c r="AB70" s="24"/>
      <c r="AC70" s="24"/>
      <c r="AD70" s="24"/>
      <c r="AE70" s="24"/>
      <c r="AF70" s="24"/>
    </row>
    <row r="71" ht="15.75" customHeight="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24"/>
      <c r="AB71" s="24"/>
      <c r="AC71" s="24"/>
      <c r="AD71" s="24"/>
      <c r="AE71" s="24"/>
      <c r="AF71" s="24"/>
    </row>
    <row r="72" ht="15.75" customHeight="1">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24"/>
      <c r="AB72" s="24"/>
      <c r="AC72" s="24"/>
      <c r="AD72" s="24"/>
      <c r="AE72" s="24"/>
      <c r="AF72" s="24"/>
    </row>
    <row r="73" ht="15.75" customHeight="1">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24"/>
      <c r="AB73" s="24"/>
      <c r="AC73" s="24"/>
      <c r="AD73" s="24"/>
      <c r="AE73" s="24"/>
      <c r="AF73" s="24"/>
    </row>
    <row r="74" ht="15.75" customHeight="1">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24"/>
      <c r="AB74" s="24"/>
      <c r="AC74" s="24"/>
      <c r="AD74" s="24"/>
      <c r="AE74" s="24"/>
      <c r="AF74" s="24"/>
    </row>
    <row r="75" ht="15.75" customHeight="1">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24"/>
      <c r="AB75" s="24"/>
      <c r="AC75" s="24"/>
      <c r="AD75" s="24"/>
      <c r="AE75" s="24"/>
      <c r="AF75" s="24"/>
    </row>
    <row r="76" ht="15.75" customHeight="1">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24"/>
      <c r="AB76" s="24"/>
      <c r="AC76" s="24"/>
      <c r="AD76" s="24"/>
      <c r="AE76" s="24"/>
      <c r="AF76" s="24"/>
    </row>
    <row r="77" ht="15.75" customHeight="1">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24"/>
      <c r="AB77" s="24"/>
      <c r="AC77" s="24"/>
      <c r="AD77" s="24"/>
      <c r="AE77" s="24"/>
      <c r="AF77" s="24"/>
    </row>
    <row r="78" ht="15.75" customHeight="1">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24"/>
      <c r="AB78" s="24"/>
      <c r="AC78" s="24"/>
      <c r="AD78" s="24"/>
      <c r="AE78" s="24"/>
      <c r="AF78" s="24"/>
    </row>
    <row r="79" ht="15.75" customHeight="1">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24"/>
      <c r="AB79" s="24"/>
      <c r="AC79" s="24"/>
      <c r="AD79" s="24"/>
      <c r="AE79" s="24"/>
      <c r="AF79" s="24"/>
    </row>
    <row r="80" ht="15.75" customHeight="1">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24"/>
      <c r="AB80" s="24"/>
      <c r="AC80" s="24"/>
      <c r="AD80" s="24"/>
      <c r="AE80" s="24"/>
      <c r="AF80" s="24"/>
    </row>
    <row r="81" ht="15.75" customHeight="1">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24"/>
      <c r="AB81" s="24"/>
      <c r="AC81" s="24"/>
      <c r="AD81" s="24"/>
      <c r="AE81" s="24"/>
      <c r="AF81" s="24"/>
    </row>
    <row r="82" ht="15.75" customHeight="1">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24"/>
      <c r="AB82" s="24"/>
      <c r="AC82" s="24"/>
      <c r="AD82" s="24"/>
      <c r="AE82" s="24"/>
      <c r="AF82" s="24"/>
    </row>
    <row r="83" ht="15.75" customHeight="1">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24"/>
      <c r="AB83" s="24"/>
      <c r="AC83" s="24"/>
      <c r="AD83" s="24"/>
      <c r="AE83" s="24"/>
      <c r="AF83" s="24"/>
    </row>
    <row r="84" ht="15.75" customHeight="1">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24"/>
      <c r="AB84" s="24"/>
      <c r="AC84" s="24"/>
      <c r="AD84" s="24"/>
      <c r="AE84" s="24"/>
      <c r="AF84" s="24"/>
    </row>
    <row r="85" ht="15.75" customHeight="1">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24"/>
      <c r="AB85" s="24"/>
      <c r="AC85" s="24"/>
      <c r="AD85" s="24"/>
      <c r="AE85" s="24"/>
      <c r="AF85" s="24"/>
    </row>
    <row r="86" ht="15.75" customHeight="1">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24"/>
      <c r="AB86" s="24"/>
      <c r="AC86" s="24"/>
      <c r="AD86" s="24"/>
      <c r="AE86" s="24"/>
      <c r="AF86" s="24"/>
    </row>
    <row r="87" ht="15.75" customHeight="1">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24"/>
      <c r="AB87" s="24"/>
      <c r="AC87" s="24"/>
      <c r="AD87" s="24"/>
      <c r="AE87" s="24"/>
      <c r="AF87" s="24"/>
    </row>
    <row r="88" ht="15.75" customHeight="1">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24"/>
      <c r="AB88" s="24"/>
      <c r="AC88" s="24"/>
      <c r="AD88" s="24"/>
      <c r="AE88" s="24"/>
      <c r="AF88" s="24"/>
    </row>
    <row r="89" ht="15.75" customHeight="1">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24"/>
      <c r="AB89" s="24"/>
      <c r="AC89" s="24"/>
      <c r="AD89" s="24"/>
      <c r="AE89" s="24"/>
      <c r="AF89" s="24"/>
    </row>
    <row r="90" ht="15.75" customHeight="1">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24"/>
      <c r="AB90" s="24"/>
      <c r="AC90" s="24"/>
      <c r="AD90" s="24"/>
      <c r="AE90" s="24"/>
      <c r="AF90" s="24"/>
    </row>
    <row r="91" ht="15.75" customHeight="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24"/>
      <c r="AB91" s="24"/>
      <c r="AC91" s="24"/>
      <c r="AD91" s="24"/>
      <c r="AE91" s="24"/>
      <c r="AF91" s="24"/>
    </row>
    <row r="92" ht="15.75" customHeight="1">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24"/>
      <c r="AB92" s="24"/>
      <c r="AC92" s="24"/>
      <c r="AD92" s="24"/>
      <c r="AE92" s="24"/>
      <c r="AF92" s="24"/>
    </row>
    <row r="93" ht="15.75" customHeight="1">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24"/>
      <c r="AB93" s="24"/>
      <c r="AC93" s="24"/>
      <c r="AD93" s="24"/>
      <c r="AE93" s="24"/>
      <c r="AF93" s="24"/>
    </row>
    <row r="94" ht="15.75" customHeight="1">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24"/>
      <c r="AB94" s="24"/>
      <c r="AC94" s="24"/>
      <c r="AD94" s="24"/>
      <c r="AE94" s="24"/>
      <c r="AF94" s="24"/>
    </row>
    <row r="95" ht="15.75" customHeight="1">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24"/>
      <c r="AB95" s="24"/>
      <c r="AC95" s="24"/>
      <c r="AD95" s="24"/>
      <c r="AE95" s="24"/>
      <c r="AF95" s="24"/>
    </row>
    <row r="96" ht="15.75" customHeight="1">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24"/>
      <c r="AB96" s="24"/>
      <c r="AC96" s="24"/>
      <c r="AD96" s="24"/>
      <c r="AE96" s="24"/>
      <c r="AF96" s="24"/>
    </row>
    <row r="97" ht="15.75" customHeight="1">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24"/>
      <c r="AB97" s="24"/>
      <c r="AC97" s="24"/>
      <c r="AD97" s="24"/>
      <c r="AE97" s="24"/>
      <c r="AF97" s="24"/>
    </row>
    <row r="98" ht="15.75" customHeight="1">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24"/>
      <c r="AB98" s="24"/>
      <c r="AC98" s="24"/>
      <c r="AD98" s="24"/>
      <c r="AE98" s="24"/>
      <c r="AF98" s="24"/>
    </row>
    <row r="99" ht="15.75" customHeight="1">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24"/>
      <c r="AB99" s="24"/>
      <c r="AC99" s="24"/>
      <c r="AD99" s="24"/>
      <c r="AE99" s="24"/>
      <c r="AF99" s="24"/>
    </row>
    <row r="100" ht="15.75" customHeight="1">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24"/>
      <c r="AB100" s="24"/>
      <c r="AC100" s="24"/>
      <c r="AD100" s="24"/>
      <c r="AE100" s="24"/>
      <c r="AF100" s="24"/>
    </row>
    <row r="101" ht="15.75" customHeight="1">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24"/>
      <c r="AB101" s="24"/>
      <c r="AC101" s="24"/>
      <c r="AD101" s="24"/>
      <c r="AE101" s="24"/>
      <c r="AF101" s="24"/>
    </row>
    <row r="102" ht="15.75" customHeight="1">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24"/>
      <c r="AB102" s="24"/>
      <c r="AC102" s="24"/>
      <c r="AD102" s="24"/>
      <c r="AE102" s="24"/>
      <c r="AF102" s="24"/>
    </row>
    <row r="103" ht="15.75" customHeight="1">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24"/>
      <c r="AB103" s="24"/>
      <c r="AC103" s="24"/>
      <c r="AD103" s="24"/>
      <c r="AE103" s="24"/>
      <c r="AF103" s="24"/>
    </row>
    <row r="104" ht="15.75" customHeight="1">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24"/>
      <c r="AB104" s="24"/>
      <c r="AC104" s="24"/>
      <c r="AD104" s="24"/>
      <c r="AE104" s="24"/>
      <c r="AF104" s="24"/>
    </row>
    <row r="105" ht="15.75" customHeight="1">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24"/>
      <c r="AB105" s="24"/>
      <c r="AC105" s="24"/>
      <c r="AD105" s="24"/>
      <c r="AE105" s="24"/>
      <c r="AF105" s="24"/>
    </row>
    <row r="106" ht="15.75" customHeight="1">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24"/>
      <c r="AB106" s="24"/>
      <c r="AC106" s="24"/>
      <c r="AD106" s="24"/>
      <c r="AE106" s="24"/>
      <c r="AF106" s="24"/>
    </row>
    <row r="107" ht="15.75" customHeight="1">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24"/>
      <c r="AB107" s="24"/>
      <c r="AC107" s="24"/>
      <c r="AD107" s="24"/>
      <c r="AE107" s="24"/>
      <c r="AF107" s="24"/>
    </row>
    <row r="108" ht="15.75" customHeight="1">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24"/>
      <c r="AB108" s="24"/>
      <c r="AC108" s="24"/>
      <c r="AD108" s="24"/>
      <c r="AE108" s="24"/>
      <c r="AF108" s="24"/>
    </row>
    <row r="109" ht="15.7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24"/>
      <c r="AB109" s="24"/>
      <c r="AC109" s="24"/>
      <c r="AD109" s="24"/>
      <c r="AE109" s="24"/>
      <c r="AF109" s="24"/>
    </row>
    <row r="110" ht="15.75" customHeight="1">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24"/>
      <c r="AB110" s="24"/>
      <c r="AC110" s="24"/>
      <c r="AD110" s="24"/>
      <c r="AE110" s="24"/>
      <c r="AF110" s="24"/>
    </row>
    <row r="111" ht="15.75" customHeight="1">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24"/>
      <c r="AB111" s="24"/>
      <c r="AC111" s="24"/>
      <c r="AD111" s="24"/>
      <c r="AE111" s="24"/>
      <c r="AF111" s="24"/>
    </row>
    <row r="112" ht="15.75" customHeight="1">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24"/>
      <c r="AB112" s="24"/>
      <c r="AC112" s="24"/>
      <c r="AD112" s="24"/>
      <c r="AE112" s="24"/>
      <c r="AF112" s="24"/>
    </row>
    <row r="113" ht="15.75" customHeight="1">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24"/>
      <c r="AB113" s="24"/>
      <c r="AC113" s="24"/>
      <c r="AD113" s="24"/>
      <c r="AE113" s="24"/>
      <c r="AF113" s="24"/>
    </row>
    <row r="114" ht="15.75" customHeight="1">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24"/>
      <c r="AB114" s="24"/>
      <c r="AC114" s="24"/>
      <c r="AD114" s="24"/>
      <c r="AE114" s="24"/>
      <c r="AF114" s="24"/>
    </row>
    <row r="115" ht="15.75" customHeight="1">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24"/>
      <c r="AB115" s="24"/>
      <c r="AC115" s="24"/>
      <c r="AD115" s="24"/>
      <c r="AE115" s="24"/>
      <c r="AF115" s="24"/>
    </row>
    <row r="116" ht="15.75" customHeight="1">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24"/>
      <c r="AB116" s="24"/>
      <c r="AC116" s="24"/>
      <c r="AD116" s="24"/>
      <c r="AE116" s="24"/>
      <c r="AF116" s="24"/>
    </row>
    <row r="117" ht="15.75" customHeight="1">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24"/>
      <c r="AB117" s="24"/>
      <c r="AC117" s="24"/>
      <c r="AD117" s="24"/>
      <c r="AE117" s="24"/>
      <c r="AF117" s="24"/>
    </row>
    <row r="118" ht="15.75" customHeight="1">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24"/>
      <c r="AB118" s="24"/>
      <c r="AC118" s="24"/>
      <c r="AD118" s="24"/>
      <c r="AE118" s="24"/>
      <c r="AF118" s="24"/>
    </row>
    <row r="119" ht="15.75" customHeight="1">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24"/>
      <c r="AB119" s="24"/>
      <c r="AC119" s="24"/>
      <c r="AD119" s="24"/>
      <c r="AE119" s="24"/>
      <c r="AF119" s="24"/>
    </row>
    <row r="120" ht="15.75" customHeight="1">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24"/>
      <c r="AB120" s="24"/>
      <c r="AC120" s="24"/>
      <c r="AD120" s="24"/>
      <c r="AE120" s="24"/>
      <c r="AF120" s="24"/>
    </row>
    <row r="121" ht="15.75" customHeight="1">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24"/>
      <c r="AB121" s="24"/>
      <c r="AC121" s="24"/>
      <c r="AD121" s="24"/>
      <c r="AE121" s="24"/>
      <c r="AF121" s="24"/>
    </row>
    <row r="122" ht="15.75" customHeight="1">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24"/>
      <c r="AB122" s="24"/>
      <c r="AC122" s="24"/>
      <c r="AD122" s="24"/>
      <c r="AE122" s="24"/>
      <c r="AF122" s="24"/>
    </row>
    <row r="123" ht="15.75" customHeight="1">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24"/>
      <c r="AB123" s="24"/>
      <c r="AC123" s="24"/>
      <c r="AD123" s="24"/>
      <c r="AE123" s="24"/>
      <c r="AF123" s="24"/>
    </row>
    <row r="124" ht="15.75" customHeight="1">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24"/>
      <c r="AB124" s="24"/>
      <c r="AC124" s="24"/>
      <c r="AD124" s="24"/>
      <c r="AE124" s="24"/>
      <c r="AF124" s="24"/>
    </row>
    <row r="125" ht="15.75" customHeight="1">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24"/>
      <c r="AB125" s="24"/>
      <c r="AC125" s="24"/>
      <c r="AD125" s="24"/>
      <c r="AE125" s="24"/>
      <c r="AF125" s="24"/>
    </row>
    <row r="126" ht="15.75" customHeight="1">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24"/>
      <c r="AB126" s="24"/>
      <c r="AC126" s="24"/>
      <c r="AD126" s="24"/>
      <c r="AE126" s="24"/>
      <c r="AF126" s="24"/>
    </row>
    <row r="127" ht="15.75" customHeight="1">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24"/>
      <c r="AB127" s="24"/>
      <c r="AC127" s="24"/>
      <c r="AD127" s="24"/>
      <c r="AE127" s="24"/>
      <c r="AF127" s="24"/>
    </row>
    <row r="128" ht="15.75" customHeight="1">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24"/>
      <c r="AB128" s="24"/>
      <c r="AC128" s="24"/>
      <c r="AD128" s="24"/>
      <c r="AE128" s="24"/>
      <c r="AF128" s="24"/>
    </row>
    <row r="129" ht="15.75" customHeight="1">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24"/>
      <c r="AB129" s="24"/>
      <c r="AC129" s="24"/>
      <c r="AD129" s="24"/>
      <c r="AE129" s="24"/>
      <c r="AF129" s="24"/>
    </row>
    <row r="130" ht="15.75" customHeight="1">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24"/>
      <c r="AB130" s="24"/>
      <c r="AC130" s="24"/>
      <c r="AD130" s="24"/>
      <c r="AE130" s="24"/>
      <c r="AF130" s="24"/>
    </row>
    <row r="131" ht="15.75" customHeight="1">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24"/>
      <c r="AB131" s="24"/>
      <c r="AC131" s="24"/>
      <c r="AD131" s="24"/>
      <c r="AE131" s="24"/>
      <c r="AF131" s="24"/>
    </row>
    <row r="132" ht="15.75" customHeight="1">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24"/>
      <c r="AB132" s="24"/>
      <c r="AC132" s="24"/>
      <c r="AD132" s="24"/>
      <c r="AE132" s="24"/>
      <c r="AF132" s="24"/>
    </row>
    <row r="133" ht="15.75" customHeight="1">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24"/>
      <c r="AB133" s="24"/>
      <c r="AC133" s="24"/>
      <c r="AD133" s="24"/>
      <c r="AE133" s="24"/>
      <c r="AF133" s="24"/>
    </row>
    <row r="134" ht="15.75" customHeight="1">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24"/>
      <c r="AB134" s="24"/>
      <c r="AC134" s="24"/>
      <c r="AD134" s="24"/>
      <c r="AE134" s="24"/>
      <c r="AF134" s="24"/>
    </row>
    <row r="135" ht="15.75" customHeight="1">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24"/>
      <c r="AB135" s="24"/>
      <c r="AC135" s="24"/>
      <c r="AD135" s="24"/>
      <c r="AE135" s="24"/>
      <c r="AF135" s="24"/>
    </row>
    <row r="136" ht="15.75" customHeight="1">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24"/>
      <c r="AB136" s="24"/>
      <c r="AC136" s="24"/>
      <c r="AD136" s="24"/>
      <c r="AE136" s="24"/>
      <c r="AF136" s="24"/>
    </row>
    <row r="137" ht="15.75" customHeight="1">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24"/>
      <c r="AB137" s="24"/>
      <c r="AC137" s="24"/>
      <c r="AD137" s="24"/>
      <c r="AE137" s="24"/>
      <c r="AF137" s="24"/>
    </row>
    <row r="138" ht="15.75" customHeight="1">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24"/>
      <c r="AB138" s="24"/>
      <c r="AC138" s="24"/>
      <c r="AD138" s="24"/>
      <c r="AE138" s="24"/>
      <c r="AF138" s="24"/>
    </row>
    <row r="139" ht="15.75" customHeight="1">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24"/>
      <c r="AB139" s="24"/>
      <c r="AC139" s="24"/>
      <c r="AD139" s="24"/>
      <c r="AE139" s="24"/>
      <c r="AF139" s="24"/>
    </row>
    <row r="140" ht="15.75" customHeight="1">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24"/>
      <c r="AB140" s="24"/>
      <c r="AC140" s="24"/>
      <c r="AD140" s="24"/>
      <c r="AE140" s="24"/>
      <c r="AF140" s="24"/>
    </row>
    <row r="141" ht="15.75" customHeight="1">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24"/>
      <c r="AB141" s="24"/>
      <c r="AC141" s="24"/>
      <c r="AD141" s="24"/>
      <c r="AE141" s="24"/>
      <c r="AF141" s="24"/>
    </row>
    <row r="142" ht="15.75" customHeight="1">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24"/>
      <c r="AB142" s="24"/>
      <c r="AC142" s="24"/>
      <c r="AD142" s="24"/>
      <c r="AE142" s="24"/>
      <c r="AF142" s="24"/>
    </row>
    <row r="143" ht="15.75" customHeight="1">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24"/>
      <c r="AB143" s="24"/>
      <c r="AC143" s="24"/>
      <c r="AD143" s="24"/>
      <c r="AE143" s="24"/>
      <c r="AF143" s="24"/>
    </row>
    <row r="144" ht="15.75" customHeight="1">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24"/>
      <c r="AB144" s="24"/>
      <c r="AC144" s="24"/>
      <c r="AD144" s="24"/>
      <c r="AE144" s="24"/>
      <c r="AF144" s="24"/>
    </row>
    <row r="145" ht="15.75" customHeight="1">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24"/>
      <c r="AB145" s="24"/>
      <c r="AC145" s="24"/>
      <c r="AD145" s="24"/>
      <c r="AE145" s="24"/>
      <c r="AF145" s="24"/>
    </row>
    <row r="146" ht="15.75" customHeight="1">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24"/>
      <c r="AB146" s="24"/>
      <c r="AC146" s="24"/>
      <c r="AD146" s="24"/>
      <c r="AE146" s="24"/>
      <c r="AF146" s="24"/>
    </row>
    <row r="147" ht="15.75" customHeight="1">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24"/>
      <c r="AB147" s="24"/>
      <c r="AC147" s="24"/>
      <c r="AD147" s="24"/>
      <c r="AE147" s="24"/>
      <c r="AF147" s="24"/>
    </row>
    <row r="148" ht="15.75" customHeight="1">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24"/>
      <c r="AB148" s="24"/>
      <c r="AC148" s="24"/>
      <c r="AD148" s="24"/>
      <c r="AE148" s="24"/>
      <c r="AF148" s="24"/>
    </row>
    <row r="149" ht="15.75" customHeight="1">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24"/>
      <c r="AB149" s="24"/>
      <c r="AC149" s="24"/>
      <c r="AD149" s="24"/>
      <c r="AE149" s="24"/>
      <c r="AF149" s="24"/>
    </row>
    <row r="150" ht="15.75" customHeight="1">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24"/>
      <c r="AB150" s="24"/>
      <c r="AC150" s="24"/>
      <c r="AD150" s="24"/>
      <c r="AE150" s="24"/>
      <c r="AF150" s="24"/>
    </row>
    <row r="151" ht="15.75" customHeight="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24"/>
      <c r="AB151" s="24"/>
      <c r="AC151" s="24"/>
      <c r="AD151" s="24"/>
      <c r="AE151" s="24"/>
      <c r="AF151" s="24"/>
    </row>
    <row r="152" ht="15.75" customHeight="1">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24"/>
      <c r="AB152" s="24"/>
      <c r="AC152" s="24"/>
      <c r="AD152" s="24"/>
      <c r="AE152" s="24"/>
      <c r="AF152" s="24"/>
    </row>
    <row r="153" ht="15.75" customHeight="1">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24"/>
      <c r="AB153" s="24"/>
      <c r="AC153" s="24"/>
      <c r="AD153" s="24"/>
      <c r="AE153" s="24"/>
      <c r="AF153" s="24"/>
    </row>
    <row r="154" ht="15.75" customHeight="1">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24"/>
      <c r="AB154" s="24"/>
      <c r="AC154" s="24"/>
      <c r="AD154" s="24"/>
      <c r="AE154" s="24"/>
      <c r="AF154" s="24"/>
    </row>
    <row r="155" ht="15.75" customHeight="1">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24"/>
      <c r="AB155" s="24"/>
      <c r="AC155" s="24"/>
      <c r="AD155" s="24"/>
      <c r="AE155" s="24"/>
      <c r="AF155" s="24"/>
    </row>
    <row r="156" ht="15.75" customHeight="1">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24"/>
      <c r="AB156" s="24"/>
      <c r="AC156" s="24"/>
      <c r="AD156" s="24"/>
      <c r="AE156" s="24"/>
      <c r="AF156" s="24"/>
    </row>
    <row r="157" ht="15.75" customHeight="1">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24"/>
      <c r="AB157" s="24"/>
      <c r="AC157" s="24"/>
      <c r="AD157" s="24"/>
      <c r="AE157" s="24"/>
      <c r="AF157" s="24"/>
    </row>
    <row r="158" ht="15.75" customHeight="1">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24"/>
      <c r="AB158" s="24"/>
      <c r="AC158" s="24"/>
      <c r="AD158" s="24"/>
      <c r="AE158" s="24"/>
      <c r="AF158" s="24"/>
    </row>
    <row r="159" ht="15.75" customHeight="1">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24"/>
      <c r="AB159" s="24"/>
      <c r="AC159" s="24"/>
      <c r="AD159" s="24"/>
      <c r="AE159" s="24"/>
      <c r="AF159" s="24"/>
    </row>
    <row r="160" ht="15.75" customHeight="1">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24"/>
      <c r="AB160" s="24"/>
      <c r="AC160" s="24"/>
      <c r="AD160" s="24"/>
      <c r="AE160" s="24"/>
      <c r="AF160" s="24"/>
    </row>
    <row r="161" ht="15.75" customHeight="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24"/>
      <c r="AB161" s="24"/>
      <c r="AC161" s="24"/>
      <c r="AD161" s="24"/>
      <c r="AE161" s="24"/>
      <c r="AF161" s="24"/>
    </row>
    <row r="162" ht="15.75" customHeight="1">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24"/>
      <c r="AB162" s="24"/>
      <c r="AC162" s="24"/>
      <c r="AD162" s="24"/>
      <c r="AE162" s="24"/>
      <c r="AF162" s="24"/>
    </row>
    <row r="163" ht="15.75" customHeight="1">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24"/>
      <c r="AB163" s="24"/>
      <c r="AC163" s="24"/>
      <c r="AD163" s="24"/>
      <c r="AE163" s="24"/>
      <c r="AF163" s="24"/>
    </row>
    <row r="164" ht="15.75" customHeight="1">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24"/>
      <c r="AB164" s="24"/>
      <c r="AC164" s="24"/>
      <c r="AD164" s="24"/>
      <c r="AE164" s="24"/>
      <c r="AF164" s="24"/>
    </row>
    <row r="165" ht="15.75" customHeight="1">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24"/>
      <c r="AB165" s="24"/>
      <c r="AC165" s="24"/>
      <c r="AD165" s="24"/>
      <c r="AE165" s="24"/>
      <c r="AF165" s="24"/>
    </row>
    <row r="166" ht="15.75" customHeight="1">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24"/>
      <c r="AB166" s="24"/>
      <c r="AC166" s="24"/>
      <c r="AD166" s="24"/>
      <c r="AE166" s="24"/>
      <c r="AF166" s="24"/>
    </row>
    <row r="167" ht="15.75" customHeight="1">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24"/>
      <c r="AB167" s="24"/>
      <c r="AC167" s="24"/>
      <c r="AD167" s="24"/>
      <c r="AE167" s="24"/>
      <c r="AF167" s="24"/>
    </row>
    <row r="168" ht="15.75" customHeight="1">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24"/>
      <c r="AB168" s="24"/>
      <c r="AC168" s="24"/>
      <c r="AD168" s="24"/>
      <c r="AE168" s="24"/>
      <c r="AF168" s="24"/>
    </row>
    <row r="169" ht="15.75" customHeight="1">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24"/>
      <c r="AB169" s="24"/>
      <c r="AC169" s="24"/>
      <c r="AD169" s="24"/>
      <c r="AE169" s="24"/>
      <c r="AF169" s="24"/>
    </row>
    <row r="170" ht="15.75" customHeight="1">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24"/>
      <c r="AB170" s="24"/>
      <c r="AC170" s="24"/>
      <c r="AD170" s="24"/>
      <c r="AE170" s="24"/>
      <c r="AF170" s="24"/>
    </row>
    <row r="171" ht="15.75" customHeight="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24"/>
      <c r="AB171" s="24"/>
      <c r="AC171" s="24"/>
      <c r="AD171" s="24"/>
      <c r="AE171" s="24"/>
      <c r="AF171" s="24"/>
    </row>
    <row r="172" ht="15.75" customHeight="1">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24"/>
      <c r="AB172" s="24"/>
      <c r="AC172" s="24"/>
      <c r="AD172" s="24"/>
      <c r="AE172" s="24"/>
      <c r="AF172" s="24"/>
    </row>
    <row r="173" ht="15.75" customHeight="1">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24"/>
      <c r="AB173" s="24"/>
      <c r="AC173" s="24"/>
      <c r="AD173" s="24"/>
      <c r="AE173" s="24"/>
      <c r="AF173" s="24"/>
    </row>
    <row r="174" ht="15.75" customHeight="1">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24"/>
      <c r="AB174" s="24"/>
      <c r="AC174" s="24"/>
      <c r="AD174" s="24"/>
      <c r="AE174" s="24"/>
      <c r="AF174" s="24"/>
    </row>
    <row r="175" ht="15.75" customHeight="1">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24"/>
      <c r="AB175" s="24"/>
      <c r="AC175" s="24"/>
      <c r="AD175" s="24"/>
      <c r="AE175" s="24"/>
      <c r="AF175" s="24"/>
    </row>
    <row r="176" ht="15.75" customHeight="1">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24"/>
      <c r="AB176" s="24"/>
      <c r="AC176" s="24"/>
      <c r="AD176" s="24"/>
      <c r="AE176" s="24"/>
      <c r="AF176" s="24"/>
    </row>
    <row r="177" ht="15.75" customHeight="1">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24"/>
      <c r="AB177" s="24"/>
      <c r="AC177" s="24"/>
      <c r="AD177" s="24"/>
      <c r="AE177" s="24"/>
      <c r="AF177" s="24"/>
    </row>
    <row r="178" ht="15.75" customHeight="1">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24"/>
      <c r="AB178" s="24"/>
      <c r="AC178" s="24"/>
      <c r="AD178" s="24"/>
      <c r="AE178" s="24"/>
      <c r="AF178" s="24"/>
    </row>
    <row r="179" ht="15.75" customHeight="1">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24"/>
      <c r="AB179" s="24"/>
      <c r="AC179" s="24"/>
      <c r="AD179" s="24"/>
      <c r="AE179" s="24"/>
      <c r="AF179" s="24"/>
    </row>
    <row r="180" ht="15.75" customHeight="1">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24"/>
      <c r="AB180" s="24"/>
      <c r="AC180" s="24"/>
      <c r="AD180" s="24"/>
      <c r="AE180" s="24"/>
      <c r="AF180" s="24"/>
    </row>
    <row r="181" ht="15.75" customHeight="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24"/>
      <c r="AB181" s="24"/>
      <c r="AC181" s="24"/>
      <c r="AD181" s="24"/>
      <c r="AE181" s="24"/>
      <c r="AF181" s="24"/>
    </row>
    <row r="182" ht="15.75" customHeight="1">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24"/>
      <c r="AB182" s="24"/>
      <c r="AC182" s="24"/>
      <c r="AD182" s="24"/>
      <c r="AE182" s="24"/>
      <c r="AF182" s="24"/>
    </row>
    <row r="183" ht="15.75" customHeight="1">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24"/>
      <c r="AB183" s="24"/>
      <c r="AC183" s="24"/>
      <c r="AD183" s="24"/>
      <c r="AE183" s="24"/>
      <c r="AF183" s="24"/>
    </row>
    <row r="184" ht="15.75" customHeight="1">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24"/>
      <c r="AB184" s="24"/>
      <c r="AC184" s="24"/>
      <c r="AD184" s="24"/>
      <c r="AE184" s="24"/>
      <c r="AF184" s="24"/>
    </row>
    <row r="185" ht="15.75" customHeight="1">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24"/>
      <c r="AB185" s="24"/>
      <c r="AC185" s="24"/>
      <c r="AD185" s="24"/>
      <c r="AE185" s="24"/>
      <c r="AF185" s="24"/>
    </row>
    <row r="186" ht="15.75" customHeight="1">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24"/>
      <c r="AB186" s="24"/>
      <c r="AC186" s="24"/>
      <c r="AD186" s="24"/>
      <c r="AE186" s="24"/>
      <c r="AF186" s="24"/>
    </row>
    <row r="187" ht="15.75" customHeight="1">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24"/>
      <c r="AB187" s="24"/>
      <c r="AC187" s="24"/>
      <c r="AD187" s="24"/>
      <c r="AE187" s="24"/>
      <c r="AF187" s="24"/>
    </row>
    <row r="188" ht="15.75" customHeight="1">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24"/>
      <c r="AB188" s="24"/>
      <c r="AC188" s="24"/>
      <c r="AD188" s="24"/>
      <c r="AE188" s="24"/>
      <c r="AF188" s="24"/>
    </row>
    <row r="189" ht="15.75" customHeight="1">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24"/>
      <c r="AB189" s="24"/>
      <c r="AC189" s="24"/>
      <c r="AD189" s="24"/>
      <c r="AE189" s="24"/>
      <c r="AF189" s="24"/>
    </row>
    <row r="190" ht="15.75" customHeight="1">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24"/>
      <c r="AB190" s="24"/>
      <c r="AC190" s="24"/>
      <c r="AD190" s="24"/>
      <c r="AE190" s="24"/>
      <c r="AF190" s="24"/>
    </row>
    <row r="191" ht="15.75" customHeight="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24"/>
      <c r="AB191" s="24"/>
      <c r="AC191" s="24"/>
      <c r="AD191" s="24"/>
      <c r="AE191" s="24"/>
      <c r="AF191" s="24"/>
    </row>
    <row r="192" ht="15.75" customHeight="1">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24"/>
      <c r="AB192" s="24"/>
      <c r="AC192" s="24"/>
      <c r="AD192" s="24"/>
      <c r="AE192" s="24"/>
      <c r="AF192" s="24"/>
    </row>
    <row r="193" ht="15.75" customHeight="1">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24"/>
      <c r="AB193" s="24"/>
      <c r="AC193" s="24"/>
      <c r="AD193" s="24"/>
      <c r="AE193" s="24"/>
      <c r="AF193" s="24"/>
    </row>
    <row r="194" ht="15.75" customHeight="1">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24"/>
      <c r="AB194" s="24"/>
      <c r="AC194" s="24"/>
      <c r="AD194" s="24"/>
      <c r="AE194" s="24"/>
      <c r="AF194" s="24"/>
    </row>
    <row r="195" ht="15.75" customHeight="1">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24"/>
      <c r="AB195" s="24"/>
      <c r="AC195" s="24"/>
      <c r="AD195" s="24"/>
      <c r="AE195" s="24"/>
      <c r="AF195" s="24"/>
    </row>
    <row r="196" ht="15.75" customHeight="1">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24"/>
      <c r="AB196" s="24"/>
      <c r="AC196" s="24"/>
      <c r="AD196" s="24"/>
      <c r="AE196" s="24"/>
      <c r="AF196" s="24"/>
    </row>
    <row r="197" ht="15.75" customHeight="1">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24"/>
      <c r="AB197" s="24"/>
      <c r="AC197" s="24"/>
      <c r="AD197" s="24"/>
      <c r="AE197" s="24"/>
      <c r="AF197" s="24"/>
    </row>
    <row r="198" ht="15.75" customHeight="1">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24"/>
      <c r="AB198" s="24"/>
      <c r="AC198" s="24"/>
      <c r="AD198" s="24"/>
      <c r="AE198" s="24"/>
      <c r="AF198" s="24"/>
    </row>
    <row r="199" ht="15.75" customHeight="1">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24"/>
      <c r="AB199" s="24"/>
      <c r="AC199" s="24"/>
      <c r="AD199" s="24"/>
      <c r="AE199" s="24"/>
      <c r="AF199" s="24"/>
    </row>
    <row r="200" ht="15.75" customHeight="1">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24"/>
      <c r="AB200" s="24"/>
      <c r="AC200" s="24"/>
      <c r="AD200" s="24"/>
      <c r="AE200" s="24"/>
      <c r="AF200" s="24"/>
    </row>
    <row r="201" ht="15.75" customHeight="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24"/>
      <c r="AB201" s="24"/>
      <c r="AC201" s="24"/>
      <c r="AD201" s="24"/>
      <c r="AE201" s="24"/>
      <c r="AF201" s="24"/>
    </row>
    <row r="202" ht="15.75" customHeight="1">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24"/>
      <c r="AB202" s="24"/>
      <c r="AC202" s="24"/>
      <c r="AD202" s="24"/>
      <c r="AE202" s="24"/>
      <c r="AF202" s="24"/>
    </row>
    <row r="203" ht="15.75" customHeight="1">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24"/>
      <c r="AB203" s="24"/>
      <c r="AC203" s="24"/>
      <c r="AD203" s="24"/>
      <c r="AE203" s="24"/>
      <c r="AF203" s="24"/>
    </row>
    <row r="204" ht="15.75" customHeight="1">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24"/>
      <c r="AB204" s="24"/>
      <c r="AC204" s="24"/>
      <c r="AD204" s="24"/>
      <c r="AE204" s="24"/>
      <c r="AF204" s="24"/>
    </row>
    <row r="205" ht="15.75" customHeight="1">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c r="AA205" s="24"/>
      <c r="AB205" s="24"/>
      <c r="AC205" s="24"/>
      <c r="AD205" s="24"/>
      <c r="AE205" s="24"/>
      <c r="AF205" s="24"/>
    </row>
    <row r="206" ht="15.75" customHeight="1">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c r="AA206" s="24"/>
      <c r="AB206" s="24"/>
      <c r="AC206" s="24"/>
      <c r="AD206" s="24"/>
      <c r="AE206" s="24"/>
      <c r="AF206" s="24"/>
    </row>
    <row r="207" ht="15.75" customHeight="1">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c r="AA207" s="24"/>
      <c r="AB207" s="24"/>
      <c r="AC207" s="24"/>
      <c r="AD207" s="24"/>
      <c r="AE207" s="24"/>
      <c r="AF207" s="24"/>
    </row>
    <row r="208" ht="15.75" customHeight="1">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c r="AA208" s="24"/>
      <c r="AB208" s="24"/>
      <c r="AC208" s="24"/>
      <c r="AD208" s="24"/>
      <c r="AE208" s="24"/>
      <c r="AF208" s="24"/>
    </row>
    <row r="209" ht="15.75" customHeight="1">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c r="AA209" s="24"/>
      <c r="AB209" s="24"/>
      <c r="AC209" s="24"/>
      <c r="AD209" s="24"/>
      <c r="AE209" s="24"/>
      <c r="AF209" s="24"/>
    </row>
    <row r="210" ht="15.75" customHeight="1">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c r="AA210" s="24"/>
      <c r="AB210" s="24"/>
      <c r="AC210" s="24"/>
      <c r="AD210" s="24"/>
      <c r="AE210" s="24"/>
      <c r="AF210" s="24"/>
    </row>
    <row r="211" ht="15.75" customHeight="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c r="AA211" s="24"/>
      <c r="AB211" s="24"/>
      <c r="AC211" s="24"/>
      <c r="AD211" s="24"/>
      <c r="AE211" s="24"/>
      <c r="AF211" s="24"/>
    </row>
    <row r="212" ht="15.75" customHeight="1">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c r="AA212" s="24"/>
      <c r="AB212" s="24"/>
      <c r="AC212" s="24"/>
      <c r="AD212" s="24"/>
      <c r="AE212" s="24"/>
      <c r="AF212" s="24"/>
    </row>
    <row r="213" ht="15.75" customHeight="1">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c r="AA213" s="24"/>
      <c r="AB213" s="24"/>
      <c r="AC213" s="24"/>
      <c r="AD213" s="24"/>
      <c r="AE213" s="24"/>
      <c r="AF213" s="24"/>
    </row>
    <row r="214" ht="15.75" customHeight="1">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c r="AA214" s="24"/>
      <c r="AB214" s="24"/>
      <c r="AC214" s="24"/>
      <c r="AD214" s="24"/>
      <c r="AE214" s="24"/>
      <c r="AF214" s="24"/>
    </row>
    <row r="215" ht="15.75" customHeight="1">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c r="AA215" s="24"/>
      <c r="AB215" s="24"/>
      <c r="AC215" s="24"/>
      <c r="AD215" s="24"/>
      <c r="AE215" s="24"/>
      <c r="AF215" s="24"/>
    </row>
    <row r="216" ht="15.75" customHeight="1">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c r="AA216" s="24"/>
      <c r="AB216" s="24"/>
      <c r="AC216" s="24"/>
      <c r="AD216" s="24"/>
      <c r="AE216" s="24"/>
      <c r="AF216" s="24"/>
    </row>
    <row r="217" ht="15.75" customHeight="1">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c r="AA217" s="24"/>
      <c r="AB217" s="24"/>
      <c r="AC217" s="24"/>
      <c r="AD217" s="24"/>
      <c r="AE217" s="24"/>
      <c r="AF217" s="24"/>
    </row>
    <row r="218" ht="15.75" customHeight="1">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c r="AA218" s="24"/>
      <c r="AB218" s="24"/>
      <c r="AC218" s="24"/>
      <c r="AD218" s="24"/>
      <c r="AE218" s="24"/>
      <c r="AF218" s="24"/>
    </row>
    <row r="219" ht="15.75" customHeight="1">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c r="AA219" s="24"/>
      <c r="AB219" s="24"/>
      <c r="AC219" s="24"/>
      <c r="AD219" s="24"/>
      <c r="AE219" s="24"/>
      <c r="AF219" s="24"/>
    </row>
    <row r="220" ht="15.75" customHeight="1">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c r="AA220" s="24"/>
      <c r="AB220" s="24"/>
      <c r="AC220" s="24"/>
      <c r="AD220" s="24"/>
      <c r="AE220" s="24"/>
      <c r="AF220" s="24"/>
    </row>
    <row r="221" ht="15.75" customHeight="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c r="AA221" s="24"/>
      <c r="AB221" s="24"/>
      <c r="AC221" s="24"/>
      <c r="AD221" s="24"/>
      <c r="AE221" s="24"/>
      <c r="AF221" s="24"/>
    </row>
    <row r="222"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row>
    <row r="223"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row>
    <row r="224"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row>
    <row r="225"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row>
    <row r="226"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row>
    <row r="227"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row>
    <row r="228"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row>
    <row r="229"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row>
    <row r="230"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row>
    <row r="231"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row>
    <row r="232"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row>
    <row r="233"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row>
    <row r="234"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row>
    <row r="235"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row>
    <row r="236"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row>
    <row r="237"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row>
    <row r="238"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row>
    <row r="239"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row>
    <row r="240"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row>
    <row r="241"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row>
    <row r="242"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row>
    <row r="243"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row>
    <row r="244"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row>
    <row r="245"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row>
    <row r="246"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row>
    <row r="247"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row>
    <row r="248"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row>
    <row r="249"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row>
    <row r="250"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row>
    <row r="251"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row>
    <row r="252"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row>
    <row r="253"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row>
    <row r="254"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row>
    <row r="255"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row>
    <row r="256"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row>
    <row r="257"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row>
    <row r="258"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row>
    <row r="259"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row>
    <row r="260"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row>
    <row r="261"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row>
    <row r="262"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row>
    <row r="263"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row>
    <row r="264"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row>
    <row r="265"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row>
    <row r="266"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row>
    <row r="267"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row>
    <row r="268"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row>
    <row r="269"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row>
    <row r="270"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row>
    <row r="271"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row>
    <row r="272"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row>
    <row r="273"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row>
    <row r="274"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row>
    <row r="275"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row>
    <row r="276"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row>
    <row r="277"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row>
    <row r="278"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row>
    <row r="279"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row>
    <row r="280"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row>
    <row r="281"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row>
    <row r="282"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row>
    <row r="283"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row>
    <row r="284"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row>
    <row r="285"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row>
    <row r="286"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row>
    <row r="287"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row>
    <row r="288"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row>
    <row r="289"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row>
    <row r="290"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row>
    <row r="291"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row>
    <row r="292"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row>
    <row r="293"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row>
    <row r="294"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row>
    <row r="295"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row>
    <row r="296"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row>
    <row r="297"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row>
    <row r="298"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row>
    <row r="299"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row>
    <row r="300"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row>
    <row r="301"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row>
    <row r="302"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row>
    <row r="303"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row>
    <row r="304"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row>
    <row r="305"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row>
    <row r="306"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row>
    <row r="307"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row>
    <row r="308"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row>
    <row r="309"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row>
    <row r="310"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row>
    <row r="311"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row>
    <row r="312"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row>
    <row r="313"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row>
    <row r="314"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row>
    <row r="315"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row>
    <row r="316"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row>
    <row r="317"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row>
    <row r="318"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row>
    <row r="319"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row>
    <row r="320"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row>
    <row r="321"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row>
    <row r="322"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row>
    <row r="323"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row>
    <row r="324"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row>
    <row r="325"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row>
    <row r="326"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row>
    <row r="327"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row>
    <row r="328"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row>
    <row r="329"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row>
    <row r="330"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row>
    <row r="331"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row>
    <row r="332"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row>
    <row r="333"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row>
    <row r="334"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row>
    <row r="335"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row>
    <row r="336"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row>
    <row r="337"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row>
    <row r="338"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row>
    <row r="339"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row>
    <row r="340"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row>
    <row r="341"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row>
    <row r="342"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row>
    <row r="343"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row>
    <row r="344"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row>
    <row r="345"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row>
    <row r="346"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row>
    <row r="347"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row>
    <row r="348"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row>
    <row r="349"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row>
    <row r="350"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row>
    <row r="351"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row>
    <row r="352"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row>
    <row r="353"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row>
    <row r="354"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row>
    <row r="355"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row>
    <row r="356"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row>
    <row r="357"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row>
    <row r="358"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row>
    <row r="359"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row>
    <row r="360"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row>
    <row r="361"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row>
    <row r="362"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row>
    <row r="363"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row>
    <row r="364"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row>
    <row r="365"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row>
    <row r="366"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row>
    <row r="367"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row>
    <row r="368"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row>
    <row r="369"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row>
    <row r="370"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row>
    <row r="371"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row>
    <row r="372"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row>
    <row r="373"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row>
    <row r="374"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row>
    <row r="375"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row>
    <row r="376"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row>
    <row r="377"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row>
    <row r="378"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row>
    <row r="379"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row>
    <row r="380"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row>
    <row r="381"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row>
    <row r="382"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row>
    <row r="383"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row>
    <row r="384"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row>
    <row r="385"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row>
    <row r="386"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row>
    <row r="387"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row>
    <row r="388"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row>
    <row r="389"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row>
    <row r="390"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row>
    <row r="391"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row>
    <row r="392"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row>
    <row r="393"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row>
    <row r="394"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row>
    <row r="395"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row>
    <row r="396"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row>
    <row r="397"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row>
    <row r="398"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row>
    <row r="399"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row>
    <row r="400"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row>
    <row r="401"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row>
    <row r="402"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row>
    <row r="403"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row>
    <row r="404"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row>
    <row r="405"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row>
    <row r="406"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row>
    <row r="407"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row>
    <row r="408"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row>
    <row r="409"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row>
    <row r="410"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row>
    <row r="411"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row>
    <row r="412"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row>
    <row r="413"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row>
    <row r="414"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row>
    <row r="415"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row>
    <row r="416"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row>
    <row r="417"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row>
    <row r="418"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row>
    <row r="419"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row>
    <row r="420"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row>
    <row r="421"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row>
    <row r="422"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row>
    <row r="423"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row>
    <row r="424"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row>
    <row r="425"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row>
    <row r="426"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row>
    <row r="427"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row>
    <row r="428"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row>
    <row r="429"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row>
    <row r="430"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row>
    <row r="431"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row>
    <row r="432"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row>
    <row r="433"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row>
    <row r="434"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row>
    <row r="435"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row>
    <row r="436"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row>
    <row r="437"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row>
    <row r="438"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row>
    <row r="439"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row>
    <row r="440"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row>
    <row r="441"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row>
    <row r="442"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row>
    <row r="443"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row>
    <row r="444"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row>
    <row r="445"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row>
    <row r="446"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row>
    <row r="447"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row>
    <row r="448"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row>
    <row r="449"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row>
    <row r="450"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row>
    <row r="451"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row>
    <row r="452"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row>
    <row r="453"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row>
    <row r="454"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row>
    <row r="455"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row>
    <row r="456"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row>
    <row r="457"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row>
    <row r="458"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row>
    <row r="459"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row>
    <row r="460"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row>
    <row r="461"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row>
    <row r="462"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row>
    <row r="463"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row>
    <row r="464"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row>
    <row r="465"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row>
    <row r="466"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row>
    <row r="467"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row>
    <row r="468"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row>
    <row r="469"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row>
    <row r="470"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row>
    <row r="471"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row>
    <row r="472"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row>
    <row r="473"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row>
    <row r="474"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row>
    <row r="475"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row>
    <row r="476"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row>
    <row r="477"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row>
    <row r="478"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row>
    <row r="479"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row>
    <row r="480"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row>
    <row r="481"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row>
    <row r="482"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row>
    <row r="483"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row>
    <row r="484"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row>
    <row r="485"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row>
    <row r="486"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row>
    <row r="487"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row>
    <row r="488"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row>
    <row r="489"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row>
    <row r="490"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row>
    <row r="491"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row>
    <row r="492"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row>
    <row r="493"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row>
    <row r="494"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row>
    <row r="495"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row>
    <row r="496"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row>
    <row r="497"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row>
    <row r="498"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row>
    <row r="499"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row>
    <row r="500"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row>
    <row r="501"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row>
    <row r="502"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row>
    <row r="503"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row>
    <row r="504"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row>
    <row r="505"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row>
    <row r="506"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row>
    <row r="507"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row>
    <row r="508"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row>
    <row r="509"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row>
    <row r="510"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row>
    <row r="511"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row>
    <row r="512"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row>
    <row r="513"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row>
    <row r="514"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row>
    <row r="515"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row>
    <row r="516"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row>
    <row r="517"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row>
    <row r="518"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row>
    <row r="519"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row>
    <row r="520"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row>
    <row r="521"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row>
    <row r="522"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row>
    <row r="523"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row>
    <row r="524"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row>
    <row r="525"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row>
    <row r="526"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row>
    <row r="527"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row>
    <row r="528"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row>
    <row r="529"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row>
    <row r="530"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row>
    <row r="531"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row>
    <row r="532"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row>
    <row r="533"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row>
    <row r="534"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row>
    <row r="535"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row>
    <row r="536"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row>
    <row r="537"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row>
    <row r="538"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row>
    <row r="539"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row>
    <row r="540"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row>
    <row r="541"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row>
    <row r="542"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row>
    <row r="543"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row>
    <row r="544"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row>
    <row r="545"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row>
    <row r="546"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row>
    <row r="547"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row>
    <row r="548"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row>
    <row r="549"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row>
    <row r="550"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row>
    <row r="551"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row>
    <row r="552"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row>
    <row r="553"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row>
    <row r="554"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row>
    <row r="555"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row>
    <row r="556"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row>
    <row r="557"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row>
    <row r="558"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row>
    <row r="559"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row>
    <row r="560"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row>
    <row r="561"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row>
    <row r="562"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row>
    <row r="563"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row>
    <row r="564"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row>
    <row r="565"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row>
    <row r="566"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row>
    <row r="567"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row>
    <row r="568"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row>
    <row r="569"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row>
    <row r="570"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row>
    <row r="571"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row>
    <row r="572"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row>
    <row r="573"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row>
    <row r="574"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row>
    <row r="575"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row>
    <row r="576"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row>
    <row r="577"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row>
    <row r="578"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row>
    <row r="579"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row>
    <row r="580"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row>
    <row r="581"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row>
    <row r="582"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row>
    <row r="583"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row>
    <row r="584"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row>
    <row r="585"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row>
    <row r="586"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row>
    <row r="587"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row>
    <row r="588"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row>
    <row r="589"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row>
    <row r="590"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row>
    <row r="591"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row>
    <row r="592"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row>
    <row r="593"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row>
    <row r="594"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row>
    <row r="595"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row>
    <row r="596"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row>
    <row r="597"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row>
    <row r="598"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row>
    <row r="599"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row>
    <row r="600"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row>
    <row r="601"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row>
    <row r="602"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row>
    <row r="603"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row>
    <row r="604"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row>
    <row r="605"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row>
    <row r="606"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row>
    <row r="607"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row>
    <row r="608"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row>
    <row r="609"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row>
    <row r="610"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row>
    <row r="611"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row>
    <row r="612"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row>
    <row r="613"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row>
    <row r="614"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row>
    <row r="615"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row>
    <row r="616"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row>
    <row r="617"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row>
    <row r="618"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row>
    <row r="619"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row>
    <row r="620"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row>
    <row r="621"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row>
    <row r="622"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row>
    <row r="623"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row>
    <row r="624"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row>
    <row r="625"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row>
    <row r="626"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row>
    <row r="627"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row>
    <row r="628"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row>
    <row r="629"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row>
    <row r="630"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row>
    <row r="631"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row>
    <row r="632"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row>
    <row r="633"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row>
    <row r="634"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row>
    <row r="635"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row>
    <row r="636"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row>
    <row r="637"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row>
    <row r="638"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row>
    <row r="639"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row>
    <row r="640"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row>
    <row r="641"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row>
    <row r="642"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row>
    <row r="643"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row>
    <row r="644"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row>
    <row r="645"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row>
    <row r="646"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row>
    <row r="647"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row>
    <row r="648"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row>
    <row r="649"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row>
    <row r="650"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row>
    <row r="651"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row>
    <row r="652"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row>
    <row r="653"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row>
    <row r="654"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row>
    <row r="655"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row>
    <row r="656"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row>
    <row r="657"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row>
    <row r="658"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row>
    <row r="659"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row>
    <row r="660"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row>
    <row r="661"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row>
    <row r="662"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row>
    <row r="663"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row>
    <row r="664"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row>
    <row r="665"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row>
    <row r="666"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row>
    <row r="667"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row>
    <row r="668"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row>
    <row r="669"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row>
    <row r="670"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row>
    <row r="671"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row>
    <row r="672"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row>
    <row r="673"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row>
    <row r="674"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row>
    <row r="675"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row>
    <row r="676"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row>
    <row r="677"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row>
    <row r="678"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row>
    <row r="679"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row>
    <row r="680"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row>
    <row r="681"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row>
    <row r="682"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row>
    <row r="683"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row>
    <row r="684"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row>
    <row r="685"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row>
    <row r="686"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row>
    <row r="687"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row>
    <row r="688"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row>
    <row r="689"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row>
    <row r="690"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row>
    <row r="691"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row>
    <row r="692"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row>
    <row r="693"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row>
    <row r="694"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row>
    <row r="695"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row>
    <row r="696"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row>
    <row r="697"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row>
    <row r="698"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row>
    <row r="699"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row>
    <row r="700"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row>
    <row r="701"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row>
    <row r="702"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row>
    <row r="703"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row>
    <row r="704"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row>
    <row r="705"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row>
    <row r="706"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row>
    <row r="707"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row>
    <row r="708"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row>
    <row r="709"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row>
    <row r="710"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row>
    <row r="711"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row>
    <row r="712"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row>
    <row r="713"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row>
    <row r="714"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row>
    <row r="715"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row>
    <row r="716"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row>
    <row r="717"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row>
    <row r="718"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row>
    <row r="719"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row>
    <row r="720"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row>
    <row r="721"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row>
    <row r="722"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row>
    <row r="723"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row>
    <row r="724"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row>
    <row r="725"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row>
    <row r="726"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row>
    <row r="727"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row>
    <row r="728"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row>
    <row r="729"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row>
    <row r="730"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row>
    <row r="731"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row>
    <row r="732"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row>
    <row r="733"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row>
    <row r="734"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row>
    <row r="735"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row>
    <row r="736"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row>
    <row r="737"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row>
    <row r="738"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row>
    <row r="739"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row>
    <row r="740"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row>
    <row r="741"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row>
    <row r="742"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row>
    <row r="743"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row>
    <row r="744"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row>
    <row r="745"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row>
    <row r="746"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row>
    <row r="747"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row>
    <row r="748"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row>
    <row r="749"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row>
    <row r="750"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row>
    <row r="751"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row>
    <row r="752"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row>
    <row r="753"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row>
    <row r="754"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row>
    <row r="755"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row>
    <row r="756"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row>
    <row r="757"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row>
    <row r="758"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row>
    <row r="759"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row>
    <row r="760"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row>
    <row r="761"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row>
    <row r="762"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row>
    <row r="763"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row>
    <row r="764"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row>
    <row r="765"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row>
    <row r="766"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row>
    <row r="767"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row>
    <row r="768"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row>
    <row r="769"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row>
    <row r="770"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row>
    <row r="771"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row>
    <row r="772"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row>
    <row r="773"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row>
    <row r="774"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row>
    <row r="775"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row>
    <row r="776"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row>
    <row r="777"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row>
    <row r="778"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row>
    <row r="779"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row>
    <row r="780"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row>
    <row r="781"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row>
    <row r="782"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row>
    <row r="783"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row>
    <row r="784"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row>
    <row r="785"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row>
    <row r="786"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row>
    <row r="787"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row>
    <row r="788"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row>
    <row r="789"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row>
    <row r="790"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row>
    <row r="791"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row>
    <row r="792"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row>
    <row r="793"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row>
    <row r="794"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row>
    <row r="795"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row>
    <row r="796"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row>
    <row r="797"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row>
    <row r="798"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row>
    <row r="799"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row>
    <row r="800"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row>
    <row r="801"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row>
    <row r="802"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row>
    <row r="803"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row>
    <row r="804"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row>
    <row r="805"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row>
    <row r="806"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row>
    <row r="807"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row>
    <row r="808"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row>
    <row r="809"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row>
    <row r="810"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row>
    <row r="811"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row>
    <row r="812"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row>
    <row r="813"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row>
    <row r="814"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row>
    <row r="815"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row>
    <row r="816"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row>
    <row r="817"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row>
    <row r="818"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row>
    <row r="819"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row>
    <row r="820"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row>
    <row r="821"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row>
    <row r="822"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row>
    <row r="823"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row>
    <row r="824"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row>
    <row r="825"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row>
    <row r="826"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row>
    <row r="827"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row>
    <row r="828"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row>
    <row r="829"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row>
    <row r="830"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row>
    <row r="831"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row>
    <row r="832"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row>
    <row r="833"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row>
    <row r="834"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row>
    <row r="835"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row>
    <row r="836"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row>
    <row r="837"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row>
    <row r="838"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row>
    <row r="839"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row>
    <row r="840"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row>
    <row r="841"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row>
    <row r="842"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row>
    <row r="843"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row>
    <row r="844"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row>
    <row r="845"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row>
    <row r="846"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row>
    <row r="847"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row>
    <row r="848"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row>
    <row r="849"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row>
    <row r="850"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row>
    <row r="851"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row>
    <row r="852"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row>
    <row r="853"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row>
    <row r="854"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row>
    <row r="855"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row>
    <row r="856"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row>
    <row r="857"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row>
    <row r="858"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row>
    <row r="859"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row>
    <row r="860"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row>
    <row r="861"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row>
    <row r="862"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row>
    <row r="863"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row>
    <row r="864"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row>
    <row r="865"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row>
    <row r="866"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row>
    <row r="867"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row>
    <row r="868"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row>
    <row r="869"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row>
    <row r="870"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row>
    <row r="871"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row>
    <row r="872"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row>
    <row r="873"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row>
    <row r="874"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row>
    <row r="875"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row>
    <row r="876"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row>
    <row r="877"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row>
    <row r="878"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row>
    <row r="879"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row>
    <row r="880"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row>
    <row r="881"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row>
    <row r="882"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row>
    <row r="883"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row>
    <row r="884"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row>
    <row r="885"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row>
    <row r="886"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row>
    <row r="887"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row>
    <row r="888"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row>
    <row r="889"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row>
    <row r="890"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row>
    <row r="891"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row>
    <row r="892"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row>
    <row r="893"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row>
    <row r="894"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row>
    <row r="895"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row>
    <row r="896"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row>
    <row r="897"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row>
    <row r="898"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row>
    <row r="899"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row>
    <row r="900"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row>
    <row r="901"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row>
    <row r="902"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row>
    <row r="903"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row>
    <row r="904"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row>
    <row r="905"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row>
    <row r="906"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row>
    <row r="907"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row>
    <row r="908"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row>
    <row r="909"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row>
    <row r="910"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row>
    <row r="911"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row>
    <row r="912"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row>
    <row r="913"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row>
    <row r="914"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row>
    <row r="915"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row>
    <row r="916"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row>
    <row r="917"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row>
    <row r="918"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row>
    <row r="919"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row>
    <row r="920"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row>
    <row r="921"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row>
    <row r="922"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row>
    <row r="923"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row>
    <row r="924"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row>
    <row r="925"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row>
    <row r="926"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row>
    <row r="927"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row>
    <row r="928"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row>
    <row r="929"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row>
    <row r="930"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row>
    <row r="931"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row>
    <row r="932"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row>
    <row r="933"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row>
    <row r="934"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row>
    <row r="935"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row>
    <row r="936"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row>
    <row r="937"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row>
    <row r="938"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row>
    <row r="939"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row>
    <row r="940"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row>
    <row r="941"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row>
    <row r="942"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row>
    <row r="943"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row>
    <row r="944"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row>
    <row r="945"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row>
    <row r="946"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row>
    <row r="947"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row>
    <row r="948"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row>
    <row r="949"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row>
    <row r="950"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row>
    <row r="951"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row>
    <row r="952"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row>
    <row r="953"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row>
    <row r="954"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row>
    <row r="955"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row>
    <row r="956"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row>
    <row r="957"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row>
    <row r="958"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row>
    <row r="959"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row>
    <row r="960"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row>
    <row r="961"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row>
    <row r="962"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row>
    <row r="963"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row>
    <row r="964"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row>
    <row r="965"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row>
    <row r="966" ht="15.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row>
    <row r="967" ht="15.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row>
    <row r="968" ht="15.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row>
    <row r="969" ht="15.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row>
    <row r="970" ht="15.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row>
    <row r="971" ht="15.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row>
    <row r="972" ht="15.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row>
    <row r="973" ht="15.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row>
    <row r="974" ht="15.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row>
    <row r="975" ht="15.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row>
    <row r="976" ht="15.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row>
    <row r="977" ht="15.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row>
    <row r="978" ht="15.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row>
    <row r="979" ht="15.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row>
    <row r="980" ht="15.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row>
    <row r="981" ht="15.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row>
    <row r="982" ht="15.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row>
    <row r="983" ht="15.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row>
    <row r="984" ht="15.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row>
    <row r="985" ht="15.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row>
    <row r="986" ht="15.7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row>
    <row r="987" ht="15.75"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row>
    <row r="988" ht="15.75"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row>
    <row r="989" ht="15.75"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row>
    <row r="990" ht="15.75"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row>
    <row r="991" ht="15.75"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row>
    <row r="992" ht="15.75"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row>
    <row r="993" ht="15.75"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row>
    <row r="994" ht="15.75"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row>
    <row r="995" ht="15.75"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row>
    <row r="996" ht="15.75"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row>
    <row r="997" ht="15.75"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row>
    <row r="998" ht="15.75"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row>
    <row r="999" ht="15.75"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row>
    <row r="1000" ht="15.75"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row>
    <row r="1001" ht="15.75" customHeight="1">
      <c r="A1001" s="24"/>
      <c r="B1001" s="24"/>
      <c r="C1001" s="24"/>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row>
  </sheetData>
  <mergeCells count="56">
    <mergeCell ref="B2:D2"/>
    <mergeCell ref="E2:G2"/>
    <mergeCell ref="H2:J2"/>
    <mergeCell ref="K2:M2"/>
    <mergeCell ref="N2:P2"/>
    <mergeCell ref="Q2:S2"/>
    <mergeCell ref="T2:V2"/>
    <mergeCell ref="P3:P4"/>
    <mergeCell ref="Q3:Q4"/>
    <mergeCell ref="R3:R4"/>
    <mergeCell ref="S3:S4"/>
    <mergeCell ref="T3:T4"/>
    <mergeCell ref="U3:U4"/>
    <mergeCell ref="V3:V4"/>
    <mergeCell ref="I3:I4"/>
    <mergeCell ref="J3:J4"/>
    <mergeCell ref="K3:K4"/>
    <mergeCell ref="L3:L4"/>
    <mergeCell ref="M3:M4"/>
    <mergeCell ref="N3:N4"/>
    <mergeCell ref="O3:O4"/>
    <mergeCell ref="B3:B4"/>
    <mergeCell ref="C3:C4"/>
    <mergeCell ref="D3:D4"/>
    <mergeCell ref="E3:E4"/>
    <mergeCell ref="F3:F4"/>
    <mergeCell ref="G3:G4"/>
    <mergeCell ref="H3:H4"/>
    <mergeCell ref="B24:D24"/>
    <mergeCell ref="E24:G24"/>
    <mergeCell ref="H24:J24"/>
    <mergeCell ref="K24:M24"/>
    <mergeCell ref="N24:P24"/>
    <mergeCell ref="Q24:S24"/>
    <mergeCell ref="T24:V24"/>
    <mergeCell ref="B25:B26"/>
    <mergeCell ref="C25:C26"/>
    <mergeCell ref="D25:D26"/>
    <mergeCell ref="E25:E26"/>
    <mergeCell ref="F25:F26"/>
    <mergeCell ref="G25:G26"/>
    <mergeCell ref="H25:H26"/>
    <mergeCell ref="P25:P26"/>
    <mergeCell ref="Q25:Q26"/>
    <mergeCell ref="R25:R26"/>
    <mergeCell ref="S25:S26"/>
    <mergeCell ref="T25:T26"/>
    <mergeCell ref="U25:U26"/>
    <mergeCell ref="V25:V26"/>
    <mergeCell ref="I25:I26"/>
    <mergeCell ref="J25:J26"/>
    <mergeCell ref="K25:K26"/>
    <mergeCell ref="L25:L26"/>
    <mergeCell ref="M25:M26"/>
    <mergeCell ref="N25:N26"/>
    <mergeCell ref="O25:O26"/>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workbookViewId="0"/>
  </sheetViews>
  <sheetFormatPr customHeight="1" defaultColWidth="12.63" defaultRowHeight="15.0"/>
  <cols>
    <col customWidth="1" min="1" max="4" width="11.13"/>
    <col customWidth="1" min="5" max="5" width="11.5"/>
    <col customWidth="1" min="6" max="6" width="11.13"/>
    <col customWidth="1" min="7" max="7" width="11.5"/>
    <col customWidth="1" min="8" max="8" width="11.13"/>
    <col customWidth="1" min="9" max="9" width="11.5"/>
    <col customWidth="1" min="10" max="10" width="11.13"/>
    <col customWidth="1" min="11" max="11" width="11.5"/>
    <col customWidth="1" min="12" max="12" width="11.13"/>
    <col customWidth="1" min="13" max="13" width="11.5"/>
    <col customWidth="1" min="14" max="14" width="11.13"/>
    <col customWidth="1" min="15" max="15" width="11.5"/>
    <col customWidth="1" min="16" max="16" width="11.13"/>
    <col customWidth="1" min="17" max="17" width="11.5"/>
    <col customWidth="1" min="18" max="18" width="11.13"/>
    <col customWidth="1" min="19" max="19" width="11.5"/>
    <col customWidth="1" min="20" max="20" width="11.13"/>
    <col customWidth="1" min="21" max="21" width="11.5"/>
    <col customWidth="1" min="22" max="22" width="11.13"/>
    <col customWidth="1" min="23" max="23" width="11.5"/>
    <col customWidth="1" min="24" max="24" width="11.13"/>
    <col customWidth="1" min="25" max="25" width="11.5"/>
    <col customWidth="1" min="26" max="26" width="11.13"/>
    <col customWidth="1" min="27" max="27" width="11.5"/>
    <col customWidth="1" min="28" max="28" width="11.13"/>
    <col customWidth="1" min="29" max="29" width="11.5"/>
    <col customWidth="1" min="30" max="30" width="11.13"/>
    <col customWidth="1" min="31" max="31" width="11.5"/>
    <col customWidth="1" min="32" max="32" width="11.13"/>
    <col customWidth="1" min="33" max="33" width="11.5"/>
    <col customWidth="1" min="34" max="34" width="11.13"/>
    <col customWidth="1" min="35" max="35" width="11.5"/>
    <col customWidth="1" min="36" max="36" width="11.13"/>
    <col customWidth="1" min="37" max="37" width="11.5"/>
    <col customWidth="1" min="38" max="38" width="11.13"/>
  </cols>
  <sheetData>
    <row r="1" ht="15.0" customHeight="1">
      <c r="A1" s="77" t="s">
        <v>86</v>
      </c>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row>
    <row r="2" ht="15.0" customHeight="1">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row>
    <row r="3" ht="15.0" customHeight="1">
      <c r="A3" s="24"/>
      <c r="B3" s="24"/>
      <c r="C3" s="31">
        <v>2019.0</v>
      </c>
      <c r="D3" s="6"/>
      <c r="E3" s="6"/>
      <c r="F3" s="6"/>
      <c r="G3" s="6"/>
      <c r="H3" s="7"/>
      <c r="I3" s="31">
        <v>2020.0</v>
      </c>
      <c r="J3" s="6"/>
      <c r="K3" s="6"/>
      <c r="L3" s="6"/>
      <c r="M3" s="6"/>
      <c r="N3" s="7"/>
      <c r="O3" s="31">
        <v>2021.0</v>
      </c>
      <c r="P3" s="6"/>
      <c r="Q3" s="6"/>
      <c r="R3" s="6"/>
      <c r="S3" s="6"/>
      <c r="T3" s="7"/>
      <c r="U3" s="31">
        <v>2022.0</v>
      </c>
      <c r="V3" s="6"/>
      <c r="W3" s="6"/>
      <c r="X3" s="6"/>
      <c r="Y3" s="6"/>
      <c r="Z3" s="7"/>
      <c r="AA3" s="31">
        <v>2023.0</v>
      </c>
      <c r="AB3" s="6"/>
      <c r="AC3" s="6"/>
      <c r="AD3" s="6"/>
      <c r="AE3" s="6"/>
      <c r="AF3" s="7"/>
      <c r="AG3" s="31">
        <v>2024.0</v>
      </c>
      <c r="AH3" s="6"/>
      <c r="AI3" s="6"/>
      <c r="AJ3" s="6"/>
      <c r="AK3" s="6"/>
      <c r="AL3" s="7"/>
    </row>
    <row r="4" ht="15.0" customHeight="1">
      <c r="A4" s="24"/>
      <c r="B4" s="24"/>
      <c r="C4" s="36" t="s">
        <v>52</v>
      </c>
      <c r="D4" s="10"/>
      <c r="E4" s="37" t="s">
        <v>53</v>
      </c>
      <c r="F4" s="10"/>
      <c r="G4" s="37" t="s">
        <v>69</v>
      </c>
      <c r="H4" s="10"/>
      <c r="I4" s="30" t="s">
        <v>52</v>
      </c>
      <c r="J4" s="7"/>
      <c r="K4" s="30" t="s">
        <v>53</v>
      </c>
      <c r="L4" s="7"/>
      <c r="M4" s="30" t="s">
        <v>69</v>
      </c>
      <c r="N4" s="7"/>
      <c r="O4" s="30" t="s">
        <v>52</v>
      </c>
      <c r="P4" s="7"/>
      <c r="Q4" s="30" t="s">
        <v>53</v>
      </c>
      <c r="R4" s="7"/>
      <c r="S4" s="30" t="s">
        <v>69</v>
      </c>
      <c r="T4" s="7"/>
      <c r="U4" s="30" t="s">
        <v>52</v>
      </c>
      <c r="V4" s="7"/>
      <c r="W4" s="30" t="s">
        <v>53</v>
      </c>
      <c r="X4" s="7"/>
      <c r="Y4" s="30" t="s">
        <v>69</v>
      </c>
      <c r="Z4" s="7"/>
      <c r="AA4" s="30" t="s">
        <v>52</v>
      </c>
      <c r="AB4" s="7"/>
      <c r="AC4" s="30" t="s">
        <v>53</v>
      </c>
      <c r="AD4" s="7"/>
      <c r="AE4" s="30" t="s">
        <v>69</v>
      </c>
      <c r="AF4" s="7"/>
      <c r="AG4" s="30" t="s">
        <v>52</v>
      </c>
      <c r="AH4" s="7"/>
      <c r="AI4" s="30" t="s">
        <v>53</v>
      </c>
      <c r="AJ4" s="7"/>
      <c r="AK4" s="30" t="s">
        <v>69</v>
      </c>
      <c r="AL4" s="7"/>
    </row>
    <row r="5" ht="15.0" customHeight="1">
      <c r="A5" s="24"/>
      <c r="B5" s="24"/>
      <c r="C5" s="78" t="s">
        <v>47</v>
      </c>
      <c r="D5" s="79" t="s">
        <v>57</v>
      </c>
      <c r="E5" s="80" t="s">
        <v>47</v>
      </c>
      <c r="F5" s="80" t="s">
        <v>57</v>
      </c>
      <c r="G5" s="80" t="s">
        <v>47</v>
      </c>
      <c r="H5" s="80" t="s">
        <v>57</v>
      </c>
      <c r="I5" s="25" t="s">
        <v>47</v>
      </c>
      <c r="J5" s="25" t="s">
        <v>57</v>
      </c>
      <c r="K5" s="25" t="s">
        <v>47</v>
      </c>
      <c r="L5" s="25" t="s">
        <v>57</v>
      </c>
      <c r="M5" s="25" t="s">
        <v>47</v>
      </c>
      <c r="N5" s="25" t="s">
        <v>57</v>
      </c>
      <c r="O5" s="25" t="s">
        <v>47</v>
      </c>
      <c r="P5" s="25" t="s">
        <v>57</v>
      </c>
      <c r="Q5" s="25" t="s">
        <v>47</v>
      </c>
      <c r="R5" s="25" t="s">
        <v>57</v>
      </c>
      <c r="S5" s="25" t="s">
        <v>47</v>
      </c>
      <c r="T5" s="25" t="s">
        <v>57</v>
      </c>
      <c r="U5" s="25" t="s">
        <v>47</v>
      </c>
      <c r="V5" s="25" t="s">
        <v>57</v>
      </c>
      <c r="W5" s="25" t="s">
        <v>47</v>
      </c>
      <c r="X5" s="25" t="s">
        <v>57</v>
      </c>
      <c r="Y5" s="25" t="s">
        <v>47</v>
      </c>
      <c r="Z5" s="25" t="s">
        <v>57</v>
      </c>
      <c r="AA5" s="25" t="s">
        <v>47</v>
      </c>
      <c r="AB5" s="25" t="s">
        <v>57</v>
      </c>
      <c r="AC5" s="25" t="s">
        <v>47</v>
      </c>
      <c r="AD5" s="25" t="s">
        <v>57</v>
      </c>
      <c r="AE5" s="25" t="s">
        <v>47</v>
      </c>
      <c r="AF5" s="25" t="s">
        <v>57</v>
      </c>
      <c r="AG5" s="25" t="s">
        <v>47</v>
      </c>
      <c r="AH5" s="25" t="s">
        <v>57</v>
      </c>
      <c r="AI5" s="25" t="s">
        <v>47</v>
      </c>
      <c r="AJ5" s="25" t="s">
        <v>57</v>
      </c>
      <c r="AK5" s="25" t="s">
        <v>47</v>
      </c>
      <c r="AL5" s="25" t="s">
        <v>57</v>
      </c>
    </row>
    <row r="6" ht="15.0" customHeight="1">
      <c r="A6" s="81" t="s">
        <v>42</v>
      </c>
      <c r="B6" s="25" t="s">
        <v>87</v>
      </c>
      <c r="C6" s="82">
        <v>1202154.0</v>
      </c>
      <c r="D6" s="35">
        <f t="shared" ref="D6:D15" si="1">C6/$C$15</f>
        <v>0.04126689619</v>
      </c>
      <c r="E6" s="83">
        <v>1136598.0</v>
      </c>
      <c r="F6" s="35">
        <f>E6/E15</f>
        <v>0.03704025728</v>
      </c>
      <c r="G6" s="47">
        <f>SUM(C6,E6)</f>
        <v>2338752</v>
      </c>
      <c r="H6" s="35">
        <f t="shared" ref="H6:H15" si="2">G6/$G$15</f>
        <v>0.03909866401</v>
      </c>
      <c r="I6" s="83">
        <v>1163198.0</v>
      </c>
      <c r="J6" s="35">
        <f t="shared" ref="J6:J15" si="3">I6/$I$15</f>
        <v>0.04004110692</v>
      </c>
      <c r="K6" s="83">
        <v>1101340.0</v>
      </c>
      <c r="L6" s="35">
        <f t="shared" ref="L6:L15" si="4">K6/$K$15</f>
        <v>0.03600163079</v>
      </c>
      <c r="M6" s="47">
        <f t="shared" ref="M6:M35" si="5">SUM(I6,K6)</f>
        <v>2264538</v>
      </c>
      <c r="N6" s="35">
        <f t="shared" ref="N6:N15" si="6">M6/$M$15</f>
        <v>0.0379691734</v>
      </c>
      <c r="O6" s="83">
        <v>1138845.0</v>
      </c>
      <c r="P6" s="35">
        <f t="shared" ref="P6:P15" si="7">O6/$O$15</f>
        <v>0.03945250758</v>
      </c>
      <c r="Q6" s="83">
        <v>1077665.0</v>
      </c>
      <c r="R6" s="35">
        <f t="shared" ref="R6:R15" si="8">Q6/$Q$15</f>
        <v>0.03548453939</v>
      </c>
      <c r="S6" s="47">
        <f t="shared" ref="S6:S35" si="9">SUM(O6,Q6)</f>
        <v>2216510</v>
      </c>
      <c r="T6" s="35">
        <f t="shared" ref="T6:T15" si="10">S6/$S$15</f>
        <v>0.03741815838</v>
      </c>
      <c r="U6" s="83">
        <v>1100738.0</v>
      </c>
      <c r="V6" s="35">
        <f t="shared" ref="V6:V15" si="11">U6/$U$15</f>
        <v>0.03828997924</v>
      </c>
      <c r="W6" s="83">
        <v>1040948.0</v>
      </c>
      <c r="X6" s="35">
        <f t="shared" ref="X6:X15" si="12">W6/$W$15</f>
        <v>0.03442777339</v>
      </c>
      <c r="Y6" s="83">
        <f t="shared" ref="Y6:Y35" si="13">SUM(U6,W6)</f>
        <v>2141686</v>
      </c>
      <c r="Z6" s="35">
        <f t="shared" ref="Z6:Z15" si="14">Y6/$Y$15</f>
        <v>0.03631014988</v>
      </c>
      <c r="AA6" s="83">
        <v>1070488.0</v>
      </c>
      <c r="AB6" s="35">
        <f t="shared" ref="AB6:AB15" si="15">AA6/$AA$15</f>
        <v>0.0372351954</v>
      </c>
      <c r="AC6" s="83">
        <v>1010980.0</v>
      </c>
      <c r="AD6" s="35">
        <f t="shared" ref="AD6:AD15" si="16">AC6/$AC$15</f>
        <v>0.03358586015</v>
      </c>
      <c r="AE6" s="47">
        <f t="shared" ref="AE6:AE35" si="17">SUM(AA6,AC6)</f>
        <v>2081468</v>
      </c>
      <c r="AF6" s="35">
        <f t="shared" ref="AF6:AF15" si="18">AE6/$AE$15</f>
        <v>0.03536860902</v>
      </c>
      <c r="AG6" s="83">
        <v>1045183.0</v>
      </c>
      <c r="AH6" s="35">
        <f t="shared" ref="AH6:AH15" si="19">AG6/$AG$15</f>
        <v>0.03622687306</v>
      </c>
      <c r="AI6" s="83">
        <v>985364.0</v>
      </c>
      <c r="AJ6" s="35">
        <f t="shared" ref="AJ6:AJ15" si="20">AI6/$AI$15</f>
        <v>0.0326943013</v>
      </c>
      <c r="AK6" s="83">
        <f t="shared" ref="AK6:AK35" si="21">SUM(AG6,AI6)</f>
        <v>2030547</v>
      </c>
      <c r="AL6" s="35">
        <f t="shared" ref="AL6:AL15" si="22">AK6/$AK$15</f>
        <v>0.03442203153</v>
      </c>
    </row>
    <row r="7" ht="15.0" customHeight="1">
      <c r="A7" s="84"/>
      <c r="B7" s="25" t="s">
        <v>88</v>
      </c>
      <c r="C7" s="26">
        <v>2848165.0</v>
      </c>
      <c r="D7" s="35">
        <f t="shared" si="1"/>
        <v>0.09777027685</v>
      </c>
      <c r="E7" s="83">
        <v>2684970.0</v>
      </c>
      <c r="F7" s="35">
        <f>E7/E15</f>
        <v>0.08749969611</v>
      </c>
      <c r="G7" s="47">
        <v>5533135.0</v>
      </c>
      <c r="H7" s="35">
        <f t="shared" si="2"/>
        <v>0.09250155053</v>
      </c>
      <c r="I7" s="83">
        <v>2812689.0</v>
      </c>
      <c r="J7" s="35">
        <f t="shared" si="3"/>
        <v>0.09682202083</v>
      </c>
      <c r="K7" s="83">
        <v>2650327.0</v>
      </c>
      <c r="L7" s="35">
        <f t="shared" si="4"/>
        <v>0.0866363649</v>
      </c>
      <c r="M7" s="47">
        <f t="shared" si="5"/>
        <v>5463016</v>
      </c>
      <c r="N7" s="35">
        <f t="shared" si="6"/>
        <v>0.09159758053</v>
      </c>
      <c r="O7" s="83">
        <v>2789934.0</v>
      </c>
      <c r="P7" s="35">
        <f t="shared" si="7"/>
        <v>0.09665045926</v>
      </c>
      <c r="Q7" s="83">
        <v>2630101.0</v>
      </c>
      <c r="R7" s="35">
        <f t="shared" si="8"/>
        <v>0.08660197978</v>
      </c>
      <c r="S7" s="47">
        <f t="shared" si="9"/>
        <v>5420035</v>
      </c>
      <c r="T7" s="35">
        <f t="shared" si="10"/>
        <v>0.09149867497</v>
      </c>
      <c r="U7" s="83">
        <v>2745771.0</v>
      </c>
      <c r="V7" s="35">
        <f t="shared" si="11"/>
        <v>0.09551365954</v>
      </c>
      <c r="W7" s="83">
        <v>2589210.0</v>
      </c>
      <c r="X7" s="35">
        <f t="shared" si="12"/>
        <v>0.08563418647</v>
      </c>
      <c r="Y7" s="83">
        <f t="shared" si="13"/>
        <v>5334981</v>
      </c>
      <c r="Z7" s="35">
        <f t="shared" si="14"/>
        <v>0.09044928141</v>
      </c>
      <c r="AA7" s="83">
        <v>2702842.0</v>
      </c>
      <c r="AB7" s="35">
        <f t="shared" si="15"/>
        <v>0.09401399176</v>
      </c>
      <c r="AC7" s="83">
        <v>2549864.0</v>
      </c>
      <c r="AD7" s="35">
        <f t="shared" si="16"/>
        <v>0.08470926793</v>
      </c>
      <c r="AE7" s="47">
        <f t="shared" si="17"/>
        <v>5252706</v>
      </c>
      <c r="AF7" s="35">
        <f t="shared" si="18"/>
        <v>0.08925474944</v>
      </c>
      <c r="AG7" s="83">
        <v>2654985.0</v>
      </c>
      <c r="AH7" s="35">
        <f t="shared" si="19"/>
        <v>0.09202388919</v>
      </c>
      <c r="AI7" s="83">
        <v>2499305.0</v>
      </c>
      <c r="AJ7" s="35">
        <f t="shared" si="20"/>
        <v>0.08292674656</v>
      </c>
      <c r="AK7" s="83">
        <f t="shared" si="21"/>
        <v>5154290</v>
      </c>
      <c r="AL7" s="35">
        <f t="shared" si="22"/>
        <v>0.08737602867</v>
      </c>
    </row>
    <row r="8" ht="15.0" customHeight="1">
      <c r="A8" s="84"/>
      <c r="B8" s="25" t="s">
        <v>89</v>
      </c>
      <c r="C8" s="26">
        <v>1491241.0</v>
      </c>
      <c r="D8" s="35">
        <f t="shared" si="1"/>
        <v>0.0511905193</v>
      </c>
      <c r="E8" s="83">
        <v>1382435.0</v>
      </c>
      <c r="F8" s="35">
        <f>E8/E15</f>
        <v>0.04505176683</v>
      </c>
      <c r="G8" s="47">
        <v>2873676.0</v>
      </c>
      <c r="H8" s="35">
        <f t="shared" si="2"/>
        <v>0.04804138806</v>
      </c>
      <c r="I8" s="83">
        <v>1485465.0</v>
      </c>
      <c r="J8" s="35">
        <f t="shared" si="3"/>
        <v>0.05113459866</v>
      </c>
      <c r="K8" s="83">
        <v>1385591.0</v>
      </c>
      <c r="L8" s="35">
        <f t="shared" si="4"/>
        <v>0.04529349302</v>
      </c>
      <c r="M8" s="47">
        <f t="shared" si="5"/>
        <v>2871056</v>
      </c>
      <c r="N8" s="35">
        <f t="shared" si="6"/>
        <v>0.04813857092</v>
      </c>
      <c r="O8" s="83">
        <v>1476815.0</v>
      </c>
      <c r="P8" s="35">
        <f t="shared" si="7"/>
        <v>0.05116065398</v>
      </c>
      <c r="Q8" s="83">
        <v>1380198.0</v>
      </c>
      <c r="R8" s="35">
        <f t="shared" si="8"/>
        <v>0.04544611758</v>
      </c>
      <c r="S8" s="47">
        <f t="shared" si="9"/>
        <v>2857013</v>
      </c>
      <c r="T8" s="35">
        <f t="shared" si="10"/>
        <v>0.04823085162</v>
      </c>
      <c r="U8" s="83">
        <v>1478733.0</v>
      </c>
      <c r="V8" s="35">
        <f t="shared" si="11"/>
        <v>0.05143881275</v>
      </c>
      <c r="W8" s="83">
        <v>1384852.0</v>
      </c>
      <c r="X8" s="35">
        <f t="shared" si="12"/>
        <v>0.04580187563</v>
      </c>
      <c r="Y8" s="83">
        <f t="shared" si="13"/>
        <v>2863585</v>
      </c>
      <c r="Z8" s="35">
        <f t="shared" si="14"/>
        <v>0.04854922735</v>
      </c>
      <c r="AA8" s="83">
        <v>1492248.0</v>
      </c>
      <c r="AB8" s="35">
        <f t="shared" si="15"/>
        <v>0.05190543553</v>
      </c>
      <c r="AC8" s="83">
        <v>1395967.0</v>
      </c>
      <c r="AD8" s="35">
        <f t="shared" si="16"/>
        <v>0.0463755489</v>
      </c>
      <c r="AE8" s="47">
        <f t="shared" si="17"/>
        <v>2888215</v>
      </c>
      <c r="AF8" s="35">
        <f t="shared" si="18"/>
        <v>0.04907697216</v>
      </c>
      <c r="AG8" s="83">
        <v>1509912.0</v>
      </c>
      <c r="AH8" s="35">
        <f t="shared" si="19"/>
        <v>0.05233474938</v>
      </c>
      <c r="AI8" s="83">
        <v>1407730.0</v>
      </c>
      <c r="AJ8" s="35">
        <f t="shared" si="20"/>
        <v>0.0467083725</v>
      </c>
      <c r="AK8" s="83">
        <f t="shared" si="21"/>
        <v>2917642</v>
      </c>
      <c r="AL8" s="35">
        <f t="shared" si="22"/>
        <v>0.04946015281</v>
      </c>
    </row>
    <row r="9" ht="15.0" customHeight="1">
      <c r="A9" s="84"/>
      <c r="B9" s="25" t="s">
        <v>90</v>
      </c>
      <c r="C9" s="26">
        <v>4857287.0</v>
      </c>
      <c r="D9" s="35">
        <f t="shared" si="1"/>
        <v>0.1667383367</v>
      </c>
      <c r="E9" s="83">
        <v>4601119.0</v>
      </c>
      <c r="F9" s="35">
        <f>E9/E15</f>
        <v>0.1499445112</v>
      </c>
      <c r="G9" s="47">
        <v>9458406.0</v>
      </c>
      <c r="H9" s="35">
        <f t="shared" si="2"/>
        <v>0.1581232376</v>
      </c>
      <c r="I9" s="83">
        <v>4813213.0</v>
      </c>
      <c r="J9" s="35">
        <f t="shared" si="3"/>
        <v>0.165686647</v>
      </c>
      <c r="K9" s="83">
        <v>4553610.0</v>
      </c>
      <c r="L9" s="35">
        <f t="shared" si="4"/>
        <v>0.1488526576</v>
      </c>
      <c r="M9" s="47">
        <f t="shared" si="5"/>
        <v>9366823</v>
      </c>
      <c r="N9" s="35">
        <f t="shared" si="6"/>
        <v>0.1570521346</v>
      </c>
      <c r="O9" s="83">
        <v>4749652.0</v>
      </c>
      <c r="P9" s="35">
        <f t="shared" si="7"/>
        <v>0.16454011</v>
      </c>
      <c r="Q9" s="83">
        <v>4479413.0</v>
      </c>
      <c r="R9" s="35">
        <f t="shared" si="8"/>
        <v>0.1474947289</v>
      </c>
      <c r="S9" s="47">
        <f t="shared" si="9"/>
        <v>9229065</v>
      </c>
      <c r="T9" s="35">
        <f t="shared" si="10"/>
        <v>0.1558010638</v>
      </c>
      <c r="U9" s="83">
        <v>4743077.0</v>
      </c>
      <c r="V9" s="35">
        <f t="shared" si="11"/>
        <v>0.1649914147</v>
      </c>
      <c r="W9" s="83">
        <v>4461059.0</v>
      </c>
      <c r="X9" s="35">
        <f t="shared" si="12"/>
        <v>0.1475427479</v>
      </c>
      <c r="Y9" s="83">
        <f t="shared" si="13"/>
        <v>9204136</v>
      </c>
      <c r="Z9" s="35">
        <f t="shared" si="14"/>
        <v>0.1560469451</v>
      </c>
      <c r="AA9" s="83">
        <v>4719132.0</v>
      </c>
      <c r="AB9" s="35">
        <f t="shared" si="15"/>
        <v>0.1641473815</v>
      </c>
      <c r="AC9" s="83">
        <v>4416662.0</v>
      </c>
      <c r="AD9" s="35">
        <f t="shared" si="16"/>
        <v>0.1467263371</v>
      </c>
      <c r="AE9" s="47">
        <f t="shared" si="17"/>
        <v>9135794</v>
      </c>
      <c r="AF9" s="35">
        <f t="shared" si="18"/>
        <v>0.1552367493</v>
      </c>
      <c r="AG9" s="83">
        <v>4782550.0</v>
      </c>
      <c r="AH9" s="35">
        <f t="shared" si="19"/>
        <v>0.1657669822</v>
      </c>
      <c r="AI9" s="83">
        <v>4432441.0</v>
      </c>
      <c r="AJ9" s="35">
        <f t="shared" si="20"/>
        <v>0.1470680495</v>
      </c>
      <c r="AK9" s="83">
        <f t="shared" si="21"/>
        <v>9214991</v>
      </c>
      <c r="AL9" s="35">
        <f t="shared" si="22"/>
        <v>0.1562134296</v>
      </c>
    </row>
    <row r="10" ht="15.0" customHeight="1">
      <c r="A10" s="84"/>
      <c r="B10" s="25" t="s">
        <v>91</v>
      </c>
      <c r="C10" s="26">
        <v>6387802.0</v>
      </c>
      <c r="D10" s="35">
        <f t="shared" si="1"/>
        <v>0.2192770327</v>
      </c>
      <c r="E10" s="83">
        <v>6424242.0</v>
      </c>
      <c r="F10" s="35">
        <f>E10/E15</f>
        <v>0.2093577294</v>
      </c>
      <c r="G10" s="47">
        <v>1.2812044E7</v>
      </c>
      <c r="H10" s="35">
        <f t="shared" si="2"/>
        <v>0.2141885089</v>
      </c>
      <c r="I10" s="83">
        <v>6238979.0</v>
      </c>
      <c r="J10" s="35">
        <f t="shared" si="3"/>
        <v>0.2147662094</v>
      </c>
      <c r="K10" s="83">
        <v>6270441.0</v>
      </c>
      <c r="L10" s="35">
        <f t="shared" si="4"/>
        <v>0.2049740332</v>
      </c>
      <c r="M10" s="47">
        <f t="shared" si="5"/>
        <v>12509420</v>
      </c>
      <c r="N10" s="35">
        <f t="shared" si="6"/>
        <v>0.2097435933</v>
      </c>
      <c r="O10" s="83">
        <v>6078488.0</v>
      </c>
      <c r="P10" s="35">
        <f t="shared" si="7"/>
        <v>0.2105743924</v>
      </c>
      <c r="Q10" s="83">
        <v>6105835.0</v>
      </c>
      <c r="R10" s="35">
        <f t="shared" si="8"/>
        <v>0.2010483245</v>
      </c>
      <c r="S10" s="47">
        <f t="shared" si="9"/>
        <v>12184323</v>
      </c>
      <c r="T10" s="35">
        <f t="shared" si="10"/>
        <v>0.2056904448</v>
      </c>
      <c r="U10" s="83">
        <v>5920990.0</v>
      </c>
      <c r="V10" s="35">
        <f t="shared" si="11"/>
        <v>0.205965983</v>
      </c>
      <c r="W10" s="83">
        <v>5945547.0</v>
      </c>
      <c r="X10" s="35">
        <f t="shared" si="12"/>
        <v>0.1966399328</v>
      </c>
      <c r="Y10" s="83">
        <f t="shared" si="13"/>
        <v>11866537</v>
      </c>
      <c r="Z10" s="35">
        <f t="shared" si="14"/>
        <v>0.2011852984</v>
      </c>
      <c r="AA10" s="83">
        <v>5799354.0</v>
      </c>
      <c r="AB10" s="35">
        <f t="shared" si="15"/>
        <v>0.2017211584</v>
      </c>
      <c r="AC10" s="83">
        <v>5794222.0</v>
      </c>
      <c r="AD10" s="35">
        <f t="shared" si="16"/>
        <v>0.1924903853</v>
      </c>
      <c r="AE10" s="47">
        <f t="shared" si="17"/>
        <v>11593576</v>
      </c>
      <c r="AF10" s="35">
        <f t="shared" si="18"/>
        <v>0.1969997409</v>
      </c>
      <c r="AG10" s="83">
        <v>5718778.0</v>
      </c>
      <c r="AH10" s="35">
        <f t="shared" si="19"/>
        <v>0.1982173884</v>
      </c>
      <c r="AI10" s="83">
        <v>5697977.0</v>
      </c>
      <c r="AJ10" s="35">
        <f t="shared" si="20"/>
        <v>0.1890584361</v>
      </c>
      <c r="AK10" s="83">
        <f t="shared" si="21"/>
        <v>11416755</v>
      </c>
      <c r="AL10" s="35">
        <f t="shared" si="22"/>
        <v>0.1935379484</v>
      </c>
    </row>
    <row r="11" ht="15.0" customHeight="1">
      <c r="A11" s="84"/>
      <c r="B11" s="25" t="s">
        <v>92</v>
      </c>
      <c r="C11" s="26">
        <v>6389475.0</v>
      </c>
      <c r="D11" s="35">
        <f t="shared" si="1"/>
        <v>0.2193344626</v>
      </c>
      <c r="E11" s="83">
        <v>6717970.0</v>
      </c>
      <c r="F11" s="35">
        <f>E11/E15</f>
        <v>0.2189299446</v>
      </c>
      <c r="G11" s="47">
        <v>1.3107445E7</v>
      </c>
      <c r="H11" s="35">
        <f t="shared" si="2"/>
        <v>0.2191269481</v>
      </c>
      <c r="I11" s="83">
        <v>6492074.0</v>
      </c>
      <c r="J11" s="35">
        <f t="shared" si="3"/>
        <v>0.223478573</v>
      </c>
      <c r="K11" s="83">
        <v>6815471.0</v>
      </c>
      <c r="L11" s="35">
        <f t="shared" si="4"/>
        <v>0.222790483</v>
      </c>
      <c r="M11" s="47">
        <f t="shared" si="5"/>
        <v>13307545</v>
      </c>
      <c r="N11" s="35">
        <f t="shared" si="6"/>
        <v>0.223125637</v>
      </c>
      <c r="O11" s="83">
        <v>6539358.0</v>
      </c>
      <c r="P11" s="35">
        <f t="shared" si="7"/>
        <v>0.2265401095</v>
      </c>
      <c r="Q11" s="83">
        <v>6848378.0</v>
      </c>
      <c r="R11" s="35">
        <f t="shared" si="8"/>
        <v>0.2254982197</v>
      </c>
      <c r="S11" s="47">
        <f t="shared" si="9"/>
        <v>13387736</v>
      </c>
      <c r="T11" s="35">
        <f t="shared" si="10"/>
        <v>0.22600594</v>
      </c>
      <c r="U11" s="83">
        <v>6608257.0</v>
      </c>
      <c r="V11" s="35">
        <f t="shared" si="11"/>
        <v>0.22987307</v>
      </c>
      <c r="W11" s="83">
        <v>6917581.0</v>
      </c>
      <c r="X11" s="35">
        <f t="shared" si="12"/>
        <v>0.2287884804</v>
      </c>
      <c r="Y11" s="83">
        <f t="shared" si="13"/>
        <v>13525838</v>
      </c>
      <c r="Z11" s="35">
        <f t="shared" si="14"/>
        <v>0.2293170918</v>
      </c>
      <c r="AA11" s="83">
        <v>6727279.0</v>
      </c>
      <c r="AB11" s="35">
        <f t="shared" si="15"/>
        <v>0.2339975302</v>
      </c>
      <c r="AC11" s="83">
        <v>6994234.0</v>
      </c>
      <c r="AD11" s="35">
        <f t="shared" si="16"/>
        <v>0.232356095</v>
      </c>
      <c r="AE11" s="47">
        <f t="shared" si="17"/>
        <v>13721513</v>
      </c>
      <c r="AF11" s="35">
        <f t="shared" si="18"/>
        <v>0.233157958</v>
      </c>
      <c r="AG11" s="83">
        <v>6808623.0</v>
      </c>
      <c r="AH11" s="35">
        <f t="shared" si="19"/>
        <v>0.2359922819</v>
      </c>
      <c r="AI11" s="83">
        <v>7088973.0</v>
      </c>
      <c r="AJ11" s="35">
        <f t="shared" si="20"/>
        <v>0.2352115758</v>
      </c>
      <c r="AK11" s="83">
        <f t="shared" si="21"/>
        <v>13897596</v>
      </c>
      <c r="AL11" s="35">
        <f t="shared" si="22"/>
        <v>0.2355934079</v>
      </c>
    </row>
    <row r="12" ht="15.0" customHeight="1">
      <c r="A12" s="84"/>
      <c r="B12" s="25" t="s">
        <v>67</v>
      </c>
      <c r="C12" s="82">
        <v>3155714.0</v>
      </c>
      <c r="D12" s="35">
        <f t="shared" si="1"/>
        <v>0.1083276536</v>
      </c>
      <c r="E12" s="85">
        <v>3528415.0</v>
      </c>
      <c r="F12" s="35">
        <f>E12/E15</f>
        <v>0.1149864767</v>
      </c>
      <c r="G12" s="47">
        <f t="shared" ref="G12:G35" si="23">SUM(C12,E12)</f>
        <v>6684129</v>
      </c>
      <c r="H12" s="35">
        <f t="shared" si="2"/>
        <v>0.1117435769</v>
      </c>
      <c r="I12" s="83">
        <v>3208046.0</v>
      </c>
      <c r="J12" s="35">
        <f t="shared" si="3"/>
        <v>0.1104315111</v>
      </c>
      <c r="K12" s="83">
        <v>3587328.0</v>
      </c>
      <c r="L12" s="35">
        <f t="shared" si="4"/>
        <v>0.1172659289</v>
      </c>
      <c r="M12" s="47">
        <f t="shared" si="5"/>
        <v>6795374</v>
      </c>
      <c r="N12" s="35">
        <f t="shared" si="6"/>
        <v>0.1139370299</v>
      </c>
      <c r="O12" s="83">
        <v>3262458.0</v>
      </c>
      <c r="P12" s="35">
        <f t="shared" si="7"/>
        <v>0.1130199008</v>
      </c>
      <c r="Q12" s="83">
        <v>3653046.0</v>
      </c>
      <c r="R12" s="35">
        <f t="shared" si="8"/>
        <v>0.1202847403</v>
      </c>
      <c r="S12" s="47">
        <f t="shared" si="9"/>
        <v>6915504</v>
      </c>
      <c r="T12" s="35">
        <f t="shared" si="10"/>
        <v>0.1167445326</v>
      </c>
      <c r="U12" s="83">
        <v>3248016.0</v>
      </c>
      <c r="V12" s="35">
        <f t="shared" si="11"/>
        <v>0.1129846205</v>
      </c>
      <c r="W12" s="83">
        <v>3640769.0</v>
      </c>
      <c r="X12" s="35">
        <f t="shared" si="12"/>
        <v>0.1204129026</v>
      </c>
      <c r="Y12" s="83">
        <f t="shared" si="13"/>
        <v>6888785</v>
      </c>
      <c r="Z12" s="35">
        <f t="shared" si="14"/>
        <v>0.1167924784</v>
      </c>
      <c r="AA12" s="83">
        <v>3259647.0</v>
      </c>
      <c r="AB12" s="35">
        <f t="shared" si="15"/>
        <v>0.113381554</v>
      </c>
      <c r="AC12" s="83">
        <v>3633497.0</v>
      </c>
      <c r="AD12" s="35">
        <f t="shared" si="16"/>
        <v>0.1207087401</v>
      </c>
      <c r="AE12" s="47">
        <f t="shared" si="17"/>
        <v>6893144</v>
      </c>
      <c r="AF12" s="35">
        <f t="shared" si="18"/>
        <v>0.1171293121</v>
      </c>
      <c r="AG12" s="83">
        <v>3271340.0</v>
      </c>
      <c r="AH12" s="35">
        <f t="shared" si="19"/>
        <v>0.1133872431</v>
      </c>
      <c r="AI12" s="83">
        <v>3648073.0</v>
      </c>
      <c r="AJ12" s="35">
        <f t="shared" si="20"/>
        <v>0.1210427799</v>
      </c>
      <c r="AK12" s="83">
        <f t="shared" si="21"/>
        <v>6919413</v>
      </c>
      <c r="AL12" s="35">
        <f t="shared" si="22"/>
        <v>0.1172985666</v>
      </c>
    </row>
    <row r="13" ht="15.0" customHeight="1">
      <c r="A13" s="84"/>
      <c r="B13" s="25" t="s">
        <v>93</v>
      </c>
      <c r="C13" s="82">
        <v>2102383.0</v>
      </c>
      <c r="D13" s="35">
        <f t="shared" si="1"/>
        <v>0.07216947331</v>
      </c>
      <c r="E13" s="85">
        <v>2773130.0</v>
      </c>
      <c r="F13" s="35">
        <f>E13/E15</f>
        <v>0.09037271637</v>
      </c>
      <c r="G13" s="47">
        <f t="shared" si="23"/>
        <v>4875513</v>
      </c>
      <c r="H13" s="35">
        <f t="shared" si="2"/>
        <v>0.08150759237</v>
      </c>
      <c r="I13" s="83">
        <v>2112020.0</v>
      </c>
      <c r="J13" s="35">
        <f t="shared" si="3"/>
        <v>0.07270268573</v>
      </c>
      <c r="K13" s="83">
        <v>2763529.0</v>
      </c>
      <c r="L13" s="35">
        <f t="shared" si="4"/>
        <v>0.09033681763</v>
      </c>
      <c r="M13" s="47">
        <f t="shared" si="5"/>
        <v>4875549</v>
      </c>
      <c r="N13" s="35">
        <f t="shared" si="6"/>
        <v>0.08174760831</v>
      </c>
      <c r="O13" s="83">
        <v>2093752.0</v>
      </c>
      <c r="P13" s="35">
        <f t="shared" si="7"/>
        <v>0.07253293174</v>
      </c>
      <c r="Q13" s="83">
        <v>2731421.0</v>
      </c>
      <c r="R13" s="35">
        <f t="shared" si="8"/>
        <v>0.08993816823</v>
      </c>
      <c r="S13" s="47">
        <f t="shared" si="9"/>
        <v>4825173</v>
      </c>
      <c r="T13" s="35">
        <f t="shared" si="10"/>
        <v>0.08145647326</v>
      </c>
      <c r="U13" s="83">
        <v>2146845.0</v>
      </c>
      <c r="V13" s="35">
        <f t="shared" si="11"/>
        <v>0.07467957904</v>
      </c>
      <c r="W13" s="83">
        <v>2782994.0</v>
      </c>
      <c r="X13" s="35">
        <f t="shared" si="12"/>
        <v>0.09204329782</v>
      </c>
      <c r="Y13" s="83">
        <f t="shared" si="13"/>
        <v>4929839</v>
      </c>
      <c r="Z13" s="35">
        <f t="shared" si="14"/>
        <v>0.08358050291</v>
      </c>
      <c r="AA13" s="83">
        <v>2196576.0</v>
      </c>
      <c r="AB13" s="35">
        <f t="shared" si="15"/>
        <v>0.07640434696</v>
      </c>
      <c r="AC13" s="83">
        <v>2818309.0</v>
      </c>
      <c r="AD13" s="35">
        <f t="shared" si="16"/>
        <v>0.09362730412</v>
      </c>
      <c r="AE13" s="47">
        <f t="shared" si="17"/>
        <v>5014885</v>
      </c>
      <c r="AF13" s="35">
        <f t="shared" si="18"/>
        <v>0.08521366018</v>
      </c>
      <c r="AG13" s="83">
        <v>2246389.0</v>
      </c>
      <c r="AH13" s="35">
        <f t="shared" si="19"/>
        <v>0.07786162725</v>
      </c>
      <c r="AI13" s="83">
        <v>2860771.0</v>
      </c>
      <c r="AJ13" s="35">
        <f t="shared" si="20"/>
        <v>0.09492016048</v>
      </c>
      <c r="AK13" s="83">
        <f t="shared" si="21"/>
        <v>5107160</v>
      </c>
      <c r="AL13" s="35">
        <f t="shared" si="22"/>
        <v>0.0865770763</v>
      </c>
    </row>
    <row r="14" ht="15.0" customHeight="1">
      <c r="A14" s="84"/>
      <c r="B14" s="25" t="s">
        <v>94</v>
      </c>
      <c r="C14" s="82">
        <v>696974.0</v>
      </c>
      <c r="D14" s="35">
        <f t="shared" si="1"/>
        <v>0.02392534875</v>
      </c>
      <c r="E14" s="85">
        <v>1436599.0</v>
      </c>
      <c r="F14" s="35">
        <f>E14/E15</f>
        <v>0.04681690147</v>
      </c>
      <c r="G14" s="47">
        <f t="shared" si="23"/>
        <v>2133573</v>
      </c>
      <c r="H14" s="35">
        <f t="shared" si="2"/>
        <v>0.03566853342</v>
      </c>
      <c r="I14" s="83">
        <v>724412.0</v>
      </c>
      <c r="J14" s="35">
        <f t="shared" si="3"/>
        <v>0.02493664737</v>
      </c>
      <c r="K14" s="83">
        <v>1463755.0</v>
      </c>
      <c r="L14" s="35">
        <f t="shared" si="4"/>
        <v>0.04784859087</v>
      </c>
      <c r="M14" s="47">
        <f t="shared" si="5"/>
        <v>2188167</v>
      </c>
      <c r="N14" s="35">
        <f t="shared" si="6"/>
        <v>0.03668867215</v>
      </c>
      <c r="O14" s="83">
        <v>736924.0</v>
      </c>
      <c r="P14" s="35">
        <f t="shared" si="7"/>
        <v>0.02552893475</v>
      </c>
      <c r="Q14" s="83">
        <v>1463930.0</v>
      </c>
      <c r="R14" s="35">
        <f t="shared" si="8"/>
        <v>0.04820318165</v>
      </c>
      <c r="S14" s="47">
        <f t="shared" si="9"/>
        <v>2200854</v>
      </c>
      <c r="T14" s="35">
        <f t="shared" si="10"/>
        <v>0.0371538606</v>
      </c>
      <c r="U14" s="83">
        <v>754990.0</v>
      </c>
      <c r="V14" s="35">
        <f t="shared" si="11"/>
        <v>0.02626288129</v>
      </c>
      <c r="W14" s="83">
        <v>1472745.0</v>
      </c>
      <c r="X14" s="35">
        <f t="shared" si="12"/>
        <v>0.04870880305</v>
      </c>
      <c r="Y14" s="83">
        <f t="shared" si="13"/>
        <v>2227735</v>
      </c>
      <c r="Z14" s="35">
        <f t="shared" si="14"/>
        <v>0.03776902484</v>
      </c>
      <c r="AA14" s="83">
        <v>781793.0</v>
      </c>
      <c r="AB14" s="35">
        <f t="shared" si="15"/>
        <v>0.02719340629</v>
      </c>
      <c r="AC14" s="83">
        <v>1487623.0</v>
      </c>
      <c r="AD14" s="35">
        <f t="shared" si="16"/>
        <v>0.04942046136</v>
      </c>
      <c r="AE14" s="47">
        <f t="shared" si="17"/>
        <v>2269416</v>
      </c>
      <c r="AF14" s="35">
        <f t="shared" si="18"/>
        <v>0.03856224895</v>
      </c>
      <c r="AG14" s="83">
        <v>813281.0</v>
      </c>
      <c r="AH14" s="35">
        <f t="shared" si="19"/>
        <v>0.02818896552</v>
      </c>
      <c r="AI14" s="83">
        <v>1518074.0</v>
      </c>
      <c r="AJ14" s="35">
        <f t="shared" si="20"/>
        <v>0.05036957789</v>
      </c>
      <c r="AK14" s="83">
        <f t="shared" si="21"/>
        <v>2331355</v>
      </c>
      <c r="AL14" s="35">
        <f t="shared" si="22"/>
        <v>0.03952135819</v>
      </c>
    </row>
    <row r="15" ht="15.0" customHeight="1">
      <c r="A15" s="54"/>
      <c r="B15" s="25" t="s">
        <v>69</v>
      </c>
      <c r="C15" s="82">
        <f>SUM(C6:C14)</f>
        <v>29131195</v>
      </c>
      <c r="D15" s="35">
        <f t="shared" si="1"/>
        <v>1</v>
      </c>
      <c r="E15" s="83">
        <f>SUM(E6:E14)</f>
        <v>30685478</v>
      </c>
      <c r="F15" s="35">
        <f>E15/E15</f>
        <v>1</v>
      </c>
      <c r="G15" s="47">
        <f t="shared" si="23"/>
        <v>59816673</v>
      </c>
      <c r="H15" s="35">
        <f t="shared" si="2"/>
        <v>1</v>
      </c>
      <c r="I15" s="83">
        <f>SUM(I6:I14)</f>
        <v>29050096</v>
      </c>
      <c r="J15" s="35">
        <f t="shared" si="3"/>
        <v>1</v>
      </c>
      <c r="K15" s="83">
        <f>SUM(K6:K14)</f>
        <v>30591392</v>
      </c>
      <c r="L15" s="35">
        <f t="shared" si="4"/>
        <v>1</v>
      </c>
      <c r="M15" s="47">
        <f t="shared" si="5"/>
        <v>59641488</v>
      </c>
      <c r="N15" s="35">
        <f t="shared" si="6"/>
        <v>1</v>
      </c>
      <c r="O15" s="83">
        <f>SUM(O6:O14)</f>
        <v>28866226</v>
      </c>
      <c r="P15" s="35">
        <f t="shared" si="7"/>
        <v>1</v>
      </c>
      <c r="Q15" s="83">
        <f>SUM(Q6:Q14)</f>
        <v>30369987</v>
      </c>
      <c r="R15" s="35">
        <f t="shared" si="8"/>
        <v>1</v>
      </c>
      <c r="S15" s="47">
        <f t="shared" si="9"/>
        <v>59236213</v>
      </c>
      <c r="T15" s="35">
        <f t="shared" si="10"/>
        <v>1</v>
      </c>
      <c r="U15" s="83">
        <f>SUM(U6:U14)</f>
        <v>28747417</v>
      </c>
      <c r="V15" s="35">
        <f t="shared" si="11"/>
        <v>1</v>
      </c>
      <c r="W15" s="83">
        <f>SUM(W6:W14)</f>
        <v>30235705</v>
      </c>
      <c r="X15" s="35">
        <f t="shared" si="12"/>
        <v>1</v>
      </c>
      <c r="Y15" s="83">
        <f t="shared" si="13"/>
        <v>58983122</v>
      </c>
      <c r="Z15" s="35">
        <f t="shared" si="14"/>
        <v>1</v>
      </c>
      <c r="AA15" s="83">
        <f>SUM(AA6:AA14)</f>
        <v>28749359</v>
      </c>
      <c r="AB15" s="35">
        <f t="shared" si="15"/>
        <v>1</v>
      </c>
      <c r="AC15" s="83">
        <f>SUM(AC6:AC14)</f>
        <v>30101358</v>
      </c>
      <c r="AD15" s="35">
        <f t="shared" si="16"/>
        <v>1</v>
      </c>
      <c r="AE15" s="47">
        <f t="shared" si="17"/>
        <v>58850717</v>
      </c>
      <c r="AF15" s="35">
        <f t="shared" si="18"/>
        <v>1</v>
      </c>
      <c r="AG15" s="83">
        <f>SUM(AG6:AG14)</f>
        <v>28851041</v>
      </c>
      <c r="AH15" s="35">
        <f t="shared" si="19"/>
        <v>1</v>
      </c>
      <c r="AI15" s="83">
        <f>SUM(AI6:AI14)</f>
        <v>30138708</v>
      </c>
      <c r="AJ15" s="35">
        <f t="shared" si="20"/>
        <v>1</v>
      </c>
      <c r="AK15" s="83">
        <f t="shared" si="21"/>
        <v>58989749</v>
      </c>
      <c r="AL15" s="35">
        <f t="shared" si="22"/>
        <v>1</v>
      </c>
    </row>
    <row r="16" ht="15.0" customHeight="1">
      <c r="A16" s="81" t="s">
        <v>43</v>
      </c>
      <c r="B16" s="25" t="s">
        <v>87</v>
      </c>
      <c r="C16" s="82">
        <v>209421.0</v>
      </c>
      <c r="D16" s="35">
        <f t="shared" ref="D16:D25" si="24">C16/$C$25</f>
        <v>0.04271979056</v>
      </c>
      <c r="E16" s="85">
        <v>198231.0</v>
      </c>
      <c r="F16" s="35">
        <f t="shared" ref="F16:F25" si="25">E16/$E$25</f>
        <v>0.03880312451</v>
      </c>
      <c r="G16" s="47">
        <f t="shared" si="23"/>
        <v>407652</v>
      </c>
      <c r="H16" s="35">
        <f t="shared" ref="H16:H25" si="26">G16/$G$25</f>
        <v>0.04072107464</v>
      </c>
      <c r="I16" s="83">
        <v>203105.0</v>
      </c>
      <c r="J16" s="35">
        <f t="shared" ref="J16:J25" si="27">I16/$I$25</f>
        <v>0.04134558131</v>
      </c>
      <c r="K16" s="83">
        <v>192464.0</v>
      </c>
      <c r="L16" s="35">
        <f t="shared" ref="L16:L25" si="28">K16/$K$25</f>
        <v>0.03762570068</v>
      </c>
      <c r="M16" s="47">
        <f t="shared" si="5"/>
        <v>395569</v>
      </c>
      <c r="N16" s="35">
        <f t="shared" ref="N16:N25" si="29">M16/$M$25</f>
        <v>0.03944801559</v>
      </c>
      <c r="O16" s="83">
        <v>197183.0</v>
      </c>
      <c r="P16" s="35">
        <f t="shared" ref="P16:P25" si="30">O16/$O$25</f>
        <v>0.04027886325</v>
      </c>
      <c r="Q16" s="83">
        <v>187285.0</v>
      </c>
      <c r="R16" s="35">
        <f t="shared" ref="R16:R25" si="31">Q16/$Q$25</f>
        <v>0.03682285158</v>
      </c>
      <c r="S16" s="47">
        <f t="shared" si="9"/>
        <v>384468</v>
      </c>
      <c r="T16" s="35">
        <f t="shared" ref="T16:T25" si="32">S16/$S$25</f>
        <v>0.03851785003</v>
      </c>
      <c r="U16" s="83">
        <v>190501.0</v>
      </c>
      <c r="V16" s="35">
        <f t="shared" ref="V16:V25" si="33">U16/$U$25</f>
        <v>0.0390248709</v>
      </c>
      <c r="W16" s="83">
        <v>180399.0</v>
      </c>
      <c r="X16" s="35">
        <f t="shared" ref="X16:X25" si="34">W16/$W$25</f>
        <v>0.03564157965</v>
      </c>
      <c r="Y16" s="83">
        <f t="shared" si="13"/>
        <v>370900</v>
      </c>
      <c r="Z16" s="35">
        <f t="shared" ref="Z16:Z25" si="35">Y16/$Y$25</f>
        <v>0.03730260996</v>
      </c>
      <c r="AA16" s="83">
        <v>185293.0</v>
      </c>
      <c r="AB16" s="35">
        <f t="shared" ref="AB16:AB25" si="36">AA16/$AA$25</f>
        <v>0.03781088538</v>
      </c>
      <c r="AC16" s="83">
        <v>175439.0</v>
      </c>
      <c r="AD16" s="35">
        <f t="shared" ref="AD16:AD25" si="37">AC16/$AC$25</f>
        <v>0.03456252565</v>
      </c>
      <c r="AE16" s="47">
        <f t="shared" si="17"/>
        <v>360732</v>
      </c>
      <c r="AF16" s="35">
        <f t="shared" ref="AF16:AF25" si="38">AE16/$AE$25</f>
        <v>0.03615813908</v>
      </c>
      <c r="AG16" s="83">
        <v>180606.0</v>
      </c>
      <c r="AH16" s="35">
        <f t="shared" ref="AH16:AH25" si="39">AG16/$AG$25</f>
        <v>0.03665636087</v>
      </c>
      <c r="AI16" s="83">
        <v>170855.0</v>
      </c>
      <c r="AJ16" s="35">
        <f t="shared" ref="AJ16:AJ25" si="40">AI16/$AI$25</f>
        <v>0.03359946636</v>
      </c>
      <c r="AK16" s="83">
        <f t="shared" si="21"/>
        <v>351461</v>
      </c>
      <c r="AL16" s="35">
        <f t="shared" ref="AL16:AL25" si="41">AK16/$AK$25</f>
        <v>0.0351037859</v>
      </c>
    </row>
    <row r="17" ht="15.0" customHeight="1">
      <c r="A17" s="84"/>
      <c r="B17" s="25" t="s">
        <v>88</v>
      </c>
      <c r="C17" s="82">
        <v>491741.0</v>
      </c>
      <c r="D17" s="35">
        <f t="shared" si="24"/>
        <v>0.1003102484</v>
      </c>
      <c r="E17" s="83">
        <v>462756.0</v>
      </c>
      <c r="F17" s="35">
        <f t="shared" si="25"/>
        <v>0.09058310097</v>
      </c>
      <c r="G17" s="47">
        <f t="shared" si="23"/>
        <v>954497</v>
      </c>
      <c r="H17" s="35">
        <f t="shared" si="26"/>
        <v>0.09534638266</v>
      </c>
      <c r="I17" s="83">
        <v>488468.0</v>
      </c>
      <c r="J17" s="35">
        <f t="shared" si="27"/>
        <v>0.09943621975</v>
      </c>
      <c r="K17" s="83">
        <v>459046.0</v>
      </c>
      <c r="L17" s="35">
        <f t="shared" si="28"/>
        <v>0.08974108089</v>
      </c>
      <c r="M17" s="47">
        <f t="shared" si="5"/>
        <v>947514</v>
      </c>
      <c r="N17" s="35">
        <f t="shared" si="29"/>
        <v>0.09449058708</v>
      </c>
      <c r="O17" s="83">
        <v>485877.0</v>
      </c>
      <c r="P17" s="35">
        <f t="shared" si="30"/>
        <v>0.09925081392</v>
      </c>
      <c r="Q17" s="83">
        <v>456432.0</v>
      </c>
      <c r="R17" s="35">
        <f t="shared" si="31"/>
        <v>0.08974091781</v>
      </c>
      <c r="S17" s="47">
        <f t="shared" si="9"/>
        <v>942309</v>
      </c>
      <c r="T17" s="35">
        <f t="shared" si="32"/>
        <v>0.09440503954</v>
      </c>
      <c r="U17" s="83">
        <v>479059.0</v>
      </c>
      <c r="V17" s="35">
        <f t="shared" si="33"/>
        <v>0.0981370997</v>
      </c>
      <c r="W17" s="83">
        <v>451018.0</v>
      </c>
      <c r="X17" s="35">
        <f t="shared" si="34"/>
        <v>0.08910799933</v>
      </c>
      <c r="Y17" s="83">
        <f t="shared" si="13"/>
        <v>930077</v>
      </c>
      <c r="Z17" s="35">
        <f t="shared" si="35"/>
        <v>0.0935408454</v>
      </c>
      <c r="AA17" s="83">
        <v>472623.0</v>
      </c>
      <c r="AB17" s="35">
        <f t="shared" si="36"/>
        <v>0.09644343866</v>
      </c>
      <c r="AC17" s="83">
        <v>444734.0</v>
      </c>
      <c r="AD17" s="35">
        <f t="shared" si="37"/>
        <v>0.08761524109</v>
      </c>
      <c r="AE17" s="47">
        <f t="shared" si="17"/>
        <v>917357</v>
      </c>
      <c r="AF17" s="35">
        <f t="shared" si="38"/>
        <v>0.09195170375</v>
      </c>
      <c r="AG17" s="83">
        <v>464348.0</v>
      </c>
      <c r="AH17" s="35">
        <f t="shared" si="39"/>
        <v>0.09424552816</v>
      </c>
      <c r="AI17" s="83">
        <v>436718.0</v>
      </c>
      <c r="AJ17" s="35">
        <f t="shared" si="40"/>
        <v>0.08588271779</v>
      </c>
      <c r="AK17" s="83">
        <f t="shared" si="21"/>
        <v>901066</v>
      </c>
      <c r="AL17" s="35">
        <f t="shared" si="41"/>
        <v>0.08999811627</v>
      </c>
    </row>
    <row r="18" ht="15.0" customHeight="1">
      <c r="A18" s="84"/>
      <c r="B18" s="25" t="s">
        <v>89</v>
      </c>
      <c r="C18" s="82">
        <v>243719.0</v>
      </c>
      <c r="D18" s="35">
        <f t="shared" si="24"/>
        <v>0.04971623971</v>
      </c>
      <c r="E18" s="85">
        <v>225664.0</v>
      </c>
      <c r="F18" s="35">
        <f t="shared" si="25"/>
        <v>0.0441730521</v>
      </c>
      <c r="G18" s="47">
        <f t="shared" si="23"/>
        <v>469383</v>
      </c>
      <c r="H18" s="35">
        <f t="shared" si="26"/>
        <v>0.04688749271</v>
      </c>
      <c r="I18" s="83">
        <v>245417.0</v>
      </c>
      <c r="J18" s="35">
        <f t="shared" si="27"/>
        <v>0.04995893025</v>
      </c>
      <c r="K18" s="83">
        <v>228595.0</v>
      </c>
      <c r="L18" s="35">
        <f t="shared" si="28"/>
        <v>0.04468912132</v>
      </c>
      <c r="M18" s="47">
        <f t="shared" si="5"/>
        <v>474012</v>
      </c>
      <c r="N18" s="35">
        <f t="shared" si="29"/>
        <v>0.04727072335</v>
      </c>
      <c r="O18" s="83">
        <v>245267.0</v>
      </c>
      <c r="P18" s="35">
        <f t="shared" si="30"/>
        <v>0.0501010531</v>
      </c>
      <c r="Q18" s="83">
        <v>228846.0</v>
      </c>
      <c r="R18" s="35">
        <f t="shared" si="31"/>
        <v>0.04499432572</v>
      </c>
      <c r="S18" s="47">
        <f t="shared" si="9"/>
        <v>474113</v>
      </c>
      <c r="T18" s="35">
        <f t="shared" si="32"/>
        <v>0.0474989165</v>
      </c>
      <c r="U18" s="83">
        <v>248625.0</v>
      </c>
      <c r="V18" s="35">
        <f t="shared" si="33"/>
        <v>0.0509317984</v>
      </c>
      <c r="W18" s="83">
        <v>231709.0</v>
      </c>
      <c r="X18" s="35">
        <f t="shared" si="34"/>
        <v>0.04577893879</v>
      </c>
      <c r="Y18" s="83">
        <f t="shared" si="13"/>
        <v>480334</v>
      </c>
      <c r="Z18" s="35">
        <f t="shared" si="35"/>
        <v>0.0483087405</v>
      </c>
      <c r="AA18" s="83">
        <v>253808.0</v>
      </c>
      <c r="AB18" s="35">
        <f t="shared" si="36"/>
        <v>0.05179205472</v>
      </c>
      <c r="AC18" s="83">
        <v>236073.0</v>
      </c>
      <c r="AD18" s="35">
        <f t="shared" si="37"/>
        <v>0.046507784</v>
      </c>
      <c r="AE18" s="47">
        <f t="shared" si="17"/>
        <v>489881</v>
      </c>
      <c r="AF18" s="35">
        <f t="shared" si="38"/>
        <v>0.04910344891</v>
      </c>
      <c r="AG18" s="83">
        <v>259350.0</v>
      </c>
      <c r="AH18" s="35">
        <f t="shared" si="39"/>
        <v>0.05263849038</v>
      </c>
      <c r="AI18" s="83">
        <v>240431.0</v>
      </c>
      <c r="AJ18" s="35">
        <f t="shared" si="40"/>
        <v>0.047281925</v>
      </c>
      <c r="AK18" s="83">
        <f t="shared" si="21"/>
        <v>499781</v>
      </c>
      <c r="AL18" s="35">
        <f t="shared" si="41"/>
        <v>0.04991792893</v>
      </c>
    </row>
    <row r="19" ht="15.0" customHeight="1">
      <c r="A19" s="84"/>
      <c r="B19" s="25" t="s">
        <v>90</v>
      </c>
      <c r="C19" s="82">
        <v>786528.0</v>
      </c>
      <c r="D19" s="35">
        <f t="shared" si="24"/>
        <v>0.1604438496</v>
      </c>
      <c r="E19" s="83">
        <v>743826.0</v>
      </c>
      <c r="F19" s="35">
        <f t="shared" si="25"/>
        <v>0.1456017116</v>
      </c>
      <c r="G19" s="47">
        <f t="shared" si="23"/>
        <v>1530354</v>
      </c>
      <c r="H19" s="35">
        <f t="shared" si="26"/>
        <v>0.1528697503</v>
      </c>
      <c r="I19" s="83">
        <v>790293.0</v>
      </c>
      <c r="J19" s="35">
        <f t="shared" si="27"/>
        <v>0.1608779867</v>
      </c>
      <c r="K19" s="83">
        <v>747295.0</v>
      </c>
      <c r="L19" s="35">
        <f t="shared" si="28"/>
        <v>0.1460922458</v>
      </c>
      <c r="M19" s="47">
        <f t="shared" si="5"/>
        <v>1537588</v>
      </c>
      <c r="N19" s="35">
        <f t="shared" si="29"/>
        <v>0.1533355632</v>
      </c>
      <c r="O19" s="83">
        <v>795267.0</v>
      </c>
      <c r="P19" s="35">
        <f t="shared" si="30"/>
        <v>0.1624503671</v>
      </c>
      <c r="Q19" s="83">
        <v>747550.0</v>
      </c>
      <c r="R19" s="35">
        <f t="shared" si="31"/>
        <v>0.1469787901</v>
      </c>
      <c r="S19" s="47">
        <f t="shared" si="9"/>
        <v>1542817</v>
      </c>
      <c r="T19" s="35">
        <f t="shared" si="32"/>
        <v>0.1545668139</v>
      </c>
      <c r="U19" s="83">
        <v>789825.0</v>
      </c>
      <c r="V19" s="35">
        <f t="shared" si="33"/>
        <v>0.1617987237</v>
      </c>
      <c r="W19" s="83">
        <v>740075.0</v>
      </c>
      <c r="X19" s="35">
        <f t="shared" si="34"/>
        <v>0.1462172299</v>
      </c>
      <c r="Y19" s="83">
        <f t="shared" si="13"/>
        <v>1529900</v>
      </c>
      <c r="Z19" s="35">
        <f t="shared" si="35"/>
        <v>0.1538669802</v>
      </c>
      <c r="AA19" s="83">
        <v>803982.0</v>
      </c>
      <c r="AB19" s="35">
        <f t="shared" si="36"/>
        <v>0.1640605487</v>
      </c>
      <c r="AC19" s="83">
        <v>750362.0</v>
      </c>
      <c r="AD19" s="35">
        <f t="shared" si="37"/>
        <v>0.1478257735</v>
      </c>
      <c r="AE19" s="47">
        <f t="shared" si="17"/>
        <v>1554344</v>
      </c>
      <c r="AF19" s="35">
        <f t="shared" si="38"/>
        <v>0.1558003907</v>
      </c>
      <c r="AG19" s="83">
        <v>819009.0</v>
      </c>
      <c r="AH19" s="35">
        <f t="shared" si="39"/>
        <v>0.1662286384</v>
      </c>
      <c r="AI19" s="83">
        <v>756553.0</v>
      </c>
      <c r="AJ19" s="35">
        <f t="shared" si="40"/>
        <v>0.1487798254</v>
      </c>
      <c r="AK19" s="83">
        <f t="shared" si="21"/>
        <v>1575562</v>
      </c>
      <c r="AL19" s="35">
        <f t="shared" si="41"/>
        <v>0.1573665104</v>
      </c>
    </row>
    <row r="20" ht="15.0" customHeight="1">
      <c r="A20" s="84"/>
      <c r="B20" s="25" t="s">
        <v>91</v>
      </c>
      <c r="C20" s="82">
        <v>1117091.0</v>
      </c>
      <c r="D20" s="35">
        <f t="shared" si="24"/>
        <v>0.2278753972</v>
      </c>
      <c r="E20" s="83">
        <v>1088454.0</v>
      </c>
      <c r="F20" s="35">
        <f t="shared" si="25"/>
        <v>0.2130616104</v>
      </c>
      <c r="G20" s="47">
        <f t="shared" si="23"/>
        <v>2205545</v>
      </c>
      <c r="H20" s="35">
        <f t="shared" si="26"/>
        <v>0.2203157658</v>
      </c>
      <c r="I20" s="83">
        <v>1092801.0</v>
      </c>
      <c r="J20" s="35">
        <f t="shared" si="27"/>
        <v>0.2224587903</v>
      </c>
      <c r="K20" s="83">
        <v>1065042.0</v>
      </c>
      <c r="L20" s="35">
        <f t="shared" si="28"/>
        <v>0.2082101146</v>
      </c>
      <c r="M20" s="47">
        <f t="shared" si="5"/>
        <v>2157843</v>
      </c>
      <c r="N20" s="35">
        <f t="shared" si="29"/>
        <v>0.2151903316</v>
      </c>
      <c r="O20" s="83">
        <v>1067195.0</v>
      </c>
      <c r="P20" s="35">
        <f t="shared" si="30"/>
        <v>0.2179975022</v>
      </c>
      <c r="Q20" s="83">
        <v>1038738.0</v>
      </c>
      <c r="R20" s="35">
        <f t="shared" si="31"/>
        <v>0.2042304253</v>
      </c>
      <c r="S20" s="47">
        <f t="shared" si="9"/>
        <v>2105933</v>
      </c>
      <c r="T20" s="35">
        <f t="shared" si="32"/>
        <v>0.2109824783</v>
      </c>
      <c r="U20" s="83">
        <v>1037244.0</v>
      </c>
      <c r="V20" s="35">
        <f t="shared" si="33"/>
        <v>0.2124834683</v>
      </c>
      <c r="W20" s="83">
        <v>1010203.0</v>
      </c>
      <c r="X20" s="35">
        <f t="shared" si="34"/>
        <v>0.1995866423</v>
      </c>
      <c r="Y20" s="83">
        <f t="shared" si="13"/>
        <v>2047447</v>
      </c>
      <c r="Z20" s="35">
        <f t="shared" si="35"/>
        <v>0.2059183522</v>
      </c>
      <c r="AA20" s="83">
        <v>1015571.0</v>
      </c>
      <c r="AB20" s="35">
        <f t="shared" si="36"/>
        <v>0.2072373952</v>
      </c>
      <c r="AC20" s="83">
        <v>992133.0</v>
      </c>
      <c r="AD20" s="35">
        <f t="shared" si="37"/>
        <v>0.1954560973</v>
      </c>
      <c r="AE20" s="47">
        <f t="shared" si="17"/>
        <v>2007704</v>
      </c>
      <c r="AF20" s="35">
        <f t="shared" si="38"/>
        <v>0.2012431403</v>
      </c>
      <c r="AG20" s="83">
        <v>998995.0</v>
      </c>
      <c r="AH20" s="35">
        <f t="shared" si="39"/>
        <v>0.2027591621</v>
      </c>
      <c r="AI20" s="83">
        <v>973786.0</v>
      </c>
      <c r="AJ20" s="35">
        <f t="shared" si="40"/>
        <v>0.1914997509</v>
      </c>
      <c r="AK20" s="83">
        <f t="shared" si="21"/>
        <v>1972781</v>
      </c>
      <c r="AL20" s="35">
        <f t="shared" si="41"/>
        <v>0.1970405873</v>
      </c>
    </row>
    <row r="21" ht="15.0" customHeight="1">
      <c r="A21" s="84"/>
      <c r="B21" s="25" t="s">
        <v>92</v>
      </c>
      <c r="C21" s="82">
        <v>1076159.0</v>
      </c>
      <c r="D21" s="35">
        <f t="shared" si="24"/>
        <v>0.2195256784</v>
      </c>
      <c r="E21" s="83">
        <v>1098137.0</v>
      </c>
      <c r="F21" s="35">
        <f t="shared" si="25"/>
        <v>0.2149570286</v>
      </c>
      <c r="G21" s="47">
        <f t="shared" si="23"/>
        <v>2174296</v>
      </c>
      <c r="H21" s="35">
        <f t="shared" si="26"/>
        <v>0.2171942483</v>
      </c>
      <c r="I21" s="83">
        <v>1099939.0</v>
      </c>
      <c r="J21" s="35">
        <f t="shared" si="27"/>
        <v>0.2239118553</v>
      </c>
      <c r="K21" s="83">
        <v>1119302.0</v>
      </c>
      <c r="L21" s="35">
        <f t="shared" si="28"/>
        <v>0.2188176595</v>
      </c>
      <c r="M21" s="47">
        <f t="shared" si="5"/>
        <v>2219241</v>
      </c>
      <c r="N21" s="35">
        <f t="shared" si="29"/>
        <v>0.2213132312</v>
      </c>
      <c r="O21" s="83">
        <v>1115327.0</v>
      </c>
      <c r="P21" s="35">
        <f t="shared" si="30"/>
        <v>0.227829497</v>
      </c>
      <c r="Q21" s="83">
        <v>1130121.0</v>
      </c>
      <c r="R21" s="35">
        <f t="shared" si="31"/>
        <v>0.2221976018</v>
      </c>
      <c r="S21" s="47">
        <f t="shared" si="9"/>
        <v>2245448</v>
      </c>
      <c r="T21" s="35">
        <f t="shared" si="32"/>
        <v>0.2249597608</v>
      </c>
      <c r="U21" s="83">
        <v>1135834.0</v>
      </c>
      <c r="V21" s="35">
        <f t="shared" si="33"/>
        <v>0.2326800133</v>
      </c>
      <c r="W21" s="83">
        <v>1144338.0</v>
      </c>
      <c r="X21" s="35">
        <f t="shared" si="34"/>
        <v>0.2260878052</v>
      </c>
      <c r="Y21" s="83">
        <f t="shared" si="13"/>
        <v>2280172</v>
      </c>
      <c r="Z21" s="35">
        <f t="shared" si="35"/>
        <v>0.2293242565</v>
      </c>
      <c r="AA21" s="83">
        <v>1156047.0</v>
      </c>
      <c r="AB21" s="35">
        <f t="shared" si="36"/>
        <v>0.2359029246</v>
      </c>
      <c r="AC21" s="83">
        <v>1163914.0</v>
      </c>
      <c r="AD21" s="35">
        <f t="shared" si="37"/>
        <v>0.2292979752</v>
      </c>
      <c r="AE21" s="47">
        <f t="shared" si="17"/>
        <v>2319961</v>
      </c>
      <c r="AF21" s="35">
        <f t="shared" si="38"/>
        <v>0.2325423653</v>
      </c>
      <c r="AG21" s="83">
        <v>1174607.0</v>
      </c>
      <c r="AH21" s="35">
        <f t="shared" si="39"/>
        <v>0.2384019251</v>
      </c>
      <c r="AI21" s="83">
        <v>1180742.0</v>
      </c>
      <c r="AJ21" s="35">
        <f t="shared" si="40"/>
        <v>0.2321986544</v>
      </c>
      <c r="AK21" s="83">
        <f t="shared" si="21"/>
        <v>2355349</v>
      </c>
      <c r="AL21" s="35">
        <f t="shared" si="41"/>
        <v>0.235251328</v>
      </c>
    </row>
    <row r="22" ht="15.0" customHeight="1">
      <c r="A22" s="84"/>
      <c r="B22" s="25" t="s">
        <v>67</v>
      </c>
      <c r="C22" s="82">
        <v>516603.0</v>
      </c>
      <c r="D22" s="35">
        <f t="shared" si="24"/>
        <v>0.1053818479</v>
      </c>
      <c r="E22" s="83">
        <v>579167.0</v>
      </c>
      <c r="F22" s="35">
        <f t="shared" si="25"/>
        <v>0.1133702055</v>
      </c>
      <c r="G22" s="47">
        <f t="shared" si="23"/>
        <v>1095770</v>
      </c>
      <c r="H22" s="35">
        <f t="shared" si="26"/>
        <v>0.1094583909</v>
      </c>
      <c r="I22" s="83">
        <v>523027.0</v>
      </c>
      <c r="J22" s="35">
        <f t="shared" si="27"/>
        <v>0.1064713097</v>
      </c>
      <c r="K22" s="83">
        <v>585287.0</v>
      </c>
      <c r="L22" s="35">
        <f t="shared" si="28"/>
        <v>0.114420533</v>
      </c>
      <c r="M22" s="47">
        <f t="shared" si="5"/>
        <v>1108314</v>
      </c>
      <c r="N22" s="35">
        <f t="shared" si="29"/>
        <v>0.1105263252</v>
      </c>
      <c r="O22" s="83">
        <v>527978.0</v>
      </c>
      <c r="P22" s="35">
        <f t="shared" si="30"/>
        <v>0.1078508475</v>
      </c>
      <c r="Q22" s="83">
        <v>593586.0</v>
      </c>
      <c r="R22" s="35">
        <f t="shared" si="31"/>
        <v>0.1167073133</v>
      </c>
      <c r="S22" s="47">
        <f t="shared" si="9"/>
        <v>1121564</v>
      </c>
      <c r="T22" s="35">
        <f t="shared" si="32"/>
        <v>0.112363666</v>
      </c>
      <c r="U22" s="83">
        <v>524720.0</v>
      </c>
      <c r="V22" s="35">
        <f t="shared" si="33"/>
        <v>0.1074909332</v>
      </c>
      <c r="W22" s="83">
        <v>586818.0</v>
      </c>
      <c r="X22" s="35">
        <f t="shared" si="34"/>
        <v>0.1159381177</v>
      </c>
      <c r="Y22" s="83">
        <f t="shared" si="13"/>
        <v>1111538</v>
      </c>
      <c r="Z22" s="35">
        <f t="shared" si="35"/>
        <v>0.1117909638</v>
      </c>
      <c r="AA22" s="83">
        <v>525564.0</v>
      </c>
      <c r="AB22" s="35">
        <f t="shared" si="36"/>
        <v>0.1072465779</v>
      </c>
      <c r="AC22" s="83">
        <v>587282.0</v>
      </c>
      <c r="AD22" s="35">
        <f t="shared" si="37"/>
        <v>0.1156980443</v>
      </c>
      <c r="AE22" s="47">
        <f t="shared" si="17"/>
        <v>1112846</v>
      </c>
      <c r="AF22" s="35">
        <f t="shared" si="38"/>
        <v>0.1115466342</v>
      </c>
      <c r="AG22" s="83">
        <v>526498.0</v>
      </c>
      <c r="AH22" s="35">
        <f t="shared" si="39"/>
        <v>0.1068596873</v>
      </c>
      <c r="AI22" s="83">
        <v>586018.0</v>
      </c>
      <c r="AJ22" s="35">
        <f t="shared" si="40"/>
        <v>0.1152432886</v>
      </c>
      <c r="AK22" s="83">
        <f t="shared" si="21"/>
        <v>1112516</v>
      </c>
      <c r="AL22" s="35">
        <f t="shared" si="41"/>
        <v>0.1111176588</v>
      </c>
    </row>
    <row r="23" ht="15.0" customHeight="1">
      <c r="A23" s="84"/>
      <c r="B23" s="25" t="s">
        <v>93</v>
      </c>
      <c r="C23" s="26">
        <v>354322.0</v>
      </c>
      <c r="D23" s="35">
        <f t="shared" si="24"/>
        <v>0.07227814608</v>
      </c>
      <c r="E23" s="83">
        <v>472525.0</v>
      </c>
      <c r="F23" s="35">
        <f t="shared" si="25"/>
        <v>0.09249535346</v>
      </c>
      <c r="G23" s="47">
        <f t="shared" si="23"/>
        <v>826847</v>
      </c>
      <c r="H23" s="35">
        <f t="shared" si="26"/>
        <v>0.08259519984</v>
      </c>
      <c r="I23" s="83">
        <v>357150.0</v>
      </c>
      <c r="J23" s="35">
        <f t="shared" si="27"/>
        <v>0.07270414005</v>
      </c>
      <c r="K23" s="83">
        <v>472386.0</v>
      </c>
      <c r="L23" s="35">
        <f t="shared" si="28"/>
        <v>0.0923489808</v>
      </c>
      <c r="M23" s="47">
        <f t="shared" si="5"/>
        <v>829536</v>
      </c>
      <c r="N23" s="35">
        <f t="shared" si="29"/>
        <v>0.08272526173</v>
      </c>
      <c r="O23" s="83">
        <v>348738.0</v>
      </c>
      <c r="P23" s="35">
        <f t="shared" si="30"/>
        <v>0.07123722742</v>
      </c>
      <c r="Q23" s="83">
        <v>461745.0</v>
      </c>
      <c r="R23" s="35">
        <f t="shared" si="31"/>
        <v>0.09078552795</v>
      </c>
      <c r="S23" s="47">
        <f t="shared" si="9"/>
        <v>810483</v>
      </c>
      <c r="T23" s="35">
        <f t="shared" si="32"/>
        <v>0.08119807797</v>
      </c>
      <c r="U23" s="83">
        <v>359197.0</v>
      </c>
      <c r="V23" s="35">
        <f t="shared" si="33"/>
        <v>0.07358290273</v>
      </c>
      <c r="W23" s="83">
        <v>471399.0</v>
      </c>
      <c r="X23" s="35">
        <f t="shared" si="34"/>
        <v>0.09313469036</v>
      </c>
      <c r="Y23" s="83">
        <f t="shared" si="13"/>
        <v>830596</v>
      </c>
      <c r="Z23" s="35">
        <f t="shared" si="35"/>
        <v>0.08353572019</v>
      </c>
      <c r="AA23" s="83">
        <v>366399.0</v>
      </c>
      <c r="AB23" s="35">
        <f t="shared" si="36"/>
        <v>0.07476737163</v>
      </c>
      <c r="AC23" s="83">
        <v>477350.0</v>
      </c>
      <c r="AD23" s="35">
        <f t="shared" si="37"/>
        <v>0.09404078693</v>
      </c>
      <c r="AE23" s="47">
        <f t="shared" si="17"/>
        <v>843749</v>
      </c>
      <c r="AF23" s="35">
        <f t="shared" si="38"/>
        <v>0.08457357178</v>
      </c>
      <c r="AG23" s="83">
        <v>373211.0</v>
      </c>
      <c r="AH23" s="35">
        <f t="shared" si="39"/>
        <v>0.07574807647</v>
      </c>
      <c r="AI23" s="83">
        <v>481908.0</v>
      </c>
      <c r="AJ23" s="35">
        <f t="shared" si="40"/>
        <v>0.09476955098</v>
      </c>
      <c r="AK23" s="83">
        <f t="shared" si="21"/>
        <v>855119</v>
      </c>
      <c r="AL23" s="35">
        <f t="shared" si="41"/>
        <v>0.08540894805</v>
      </c>
    </row>
    <row r="24" ht="15.0" customHeight="1">
      <c r="A24" s="84"/>
      <c r="B24" s="25" t="s">
        <v>94</v>
      </c>
      <c r="C24" s="82">
        <v>106617.0</v>
      </c>
      <c r="D24" s="35">
        <f t="shared" si="24"/>
        <v>0.02174880222</v>
      </c>
      <c r="E24" s="83">
        <v>239875.0</v>
      </c>
      <c r="F24" s="35">
        <f t="shared" si="25"/>
        <v>0.04695481278</v>
      </c>
      <c r="G24" s="47">
        <f t="shared" si="23"/>
        <v>346492</v>
      </c>
      <c r="H24" s="35">
        <f t="shared" si="26"/>
        <v>0.03461169477</v>
      </c>
      <c r="I24" s="83">
        <v>112175.0</v>
      </c>
      <c r="J24" s="35">
        <f t="shared" si="27"/>
        <v>0.02283518665</v>
      </c>
      <c r="K24" s="83">
        <v>245810.0</v>
      </c>
      <c r="L24" s="35">
        <f t="shared" si="28"/>
        <v>0.04805456337</v>
      </c>
      <c r="M24" s="47">
        <f t="shared" si="5"/>
        <v>357985</v>
      </c>
      <c r="N24" s="35">
        <f t="shared" si="29"/>
        <v>0.03569996097</v>
      </c>
      <c r="O24" s="83">
        <v>112614.0</v>
      </c>
      <c r="P24" s="35">
        <f t="shared" si="30"/>
        <v>0.02300382846</v>
      </c>
      <c r="Q24" s="83">
        <v>241805.0</v>
      </c>
      <c r="R24" s="35">
        <f t="shared" si="31"/>
        <v>0.04754224645</v>
      </c>
      <c r="S24" s="47">
        <f t="shared" si="9"/>
        <v>354419</v>
      </c>
      <c r="T24" s="35">
        <f t="shared" si="32"/>
        <v>0.03550739694</v>
      </c>
      <c r="U24" s="83">
        <v>116523.0</v>
      </c>
      <c r="V24" s="35">
        <f t="shared" si="33"/>
        <v>0.02387018983</v>
      </c>
      <c r="W24" s="83">
        <v>245517.0</v>
      </c>
      <c r="X24" s="35">
        <f t="shared" si="34"/>
        <v>0.04850699677</v>
      </c>
      <c r="Y24" s="83">
        <f t="shared" si="13"/>
        <v>362040</v>
      </c>
      <c r="Z24" s="35">
        <f t="shared" si="35"/>
        <v>0.03641153116</v>
      </c>
      <c r="AA24" s="83">
        <v>121233.0</v>
      </c>
      <c r="AB24" s="35">
        <f t="shared" si="36"/>
        <v>0.02473880323</v>
      </c>
      <c r="AC24" s="83">
        <v>248702.0</v>
      </c>
      <c r="AD24" s="35">
        <f t="shared" si="37"/>
        <v>0.04899577206</v>
      </c>
      <c r="AE24" s="47">
        <f t="shared" si="17"/>
        <v>369935</v>
      </c>
      <c r="AF24" s="35">
        <f t="shared" si="38"/>
        <v>0.03708060605</v>
      </c>
      <c r="AG24" s="83">
        <v>130379.0</v>
      </c>
      <c r="AH24" s="35">
        <f t="shared" si="39"/>
        <v>0.02646213124</v>
      </c>
      <c r="AI24" s="83">
        <v>258040.0</v>
      </c>
      <c r="AJ24" s="35">
        <f t="shared" si="40"/>
        <v>0.05074482046</v>
      </c>
      <c r="AK24" s="83">
        <f t="shared" si="21"/>
        <v>388419</v>
      </c>
      <c r="AL24" s="35">
        <f t="shared" si="41"/>
        <v>0.03879513634</v>
      </c>
    </row>
    <row r="25" ht="15.0" customHeight="1">
      <c r="A25" s="54"/>
      <c r="B25" s="25" t="s">
        <v>69</v>
      </c>
      <c r="C25" s="86">
        <f>SUM(C16:C24)</f>
        <v>4902201</v>
      </c>
      <c r="D25" s="35">
        <f t="shared" si="24"/>
        <v>1</v>
      </c>
      <c r="E25" s="83">
        <f>SUM(E16:E24)</f>
        <v>5108635</v>
      </c>
      <c r="F25" s="35">
        <f t="shared" si="25"/>
        <v>1</v>
      </c>
      <c r="G25" s="47">
        <f t="shared" si="23"/>
        <v>10010836</v>
      </c>
      <c r="H25" s="35">
        <f t="shared" si="26"/>
        <v>1</v>
      </c>
      <c r="I25" s="83">
        <f>SUM(I16:I24)</f>
        <v>4912375</v>
      </c>
      <c r="J25" s="35">
        <f t="shared" si="27"/>
        <v>1</v>
      </c>
      <c r="K25" s="83">
        <f>SUM(K16:K24)</f>
        <v>5115227</v>
      </c>
      <c r="L25" s="35">
        <f t="shared" si="28"/>
        <v>1</v>
      </c>
      <c r="M25" s="47">
        <f t="shared" si="5"/>
        <v>10027602</v>
      </c>
      <c r="N25" s="35">
        <f t="shared" si="29"/>
        <v>1</v>
      </c>
      <c r="O25" s="83">
        <f>SUM(O16:O24)</f>
        <v>4895446</v>
      </c>
      <c r="P25" s="35">
        <f t="shared" si="30"/>
        <v>1</v>
      </c>
      <c r="Q25" s="83">
        <f>SUM(Q16:Q24)</f>
        <v>5086108</v>
      </c>
      <c r="R25" s="35">
        <f t="shared" si="31"/>
        <v>1</v>
      </c>
      <c r="S25" s="47">
        <f t="shared" si="9"/>
        <v>9981554</v>
      </c>
      <c r="T25" s="35">
        <f t="shared" si="32"/>
        <v>1</v>
      </c>
      <c r="U25" s="83">
        <f>SUM(U16:U24)</f>
        <v>4881528</v>
      </c>
      <c r="V25" s="35">
        <f t="shared" si="33"/>
        <v>1</v>
      </c>
      <c r="W25" s="83">
        <f>SUM(W16:W24)</f>
        <v>5061476</v>
      </c>
      <c r="X25" s="35">
        <f t="shared" si="34"/>
        <v>1</v>
      </c>
      <c r="Y25" s="83">
        <f t="shared" si="13"/>
        <v>9943004</v>
      </c>
      <c r="Z25" s="35">
        <f t="shared" si="35"/>
        <v>1</v>
      </c>
      <c r="AA25" s="83">
        <f>SUM(AA16:AA24)</f>
        <v>4900520</v>
      </c>
      <c r="AB25" s="35">
        <f t="shared" si="36"/>
        <v>1</v>
      </c>
      <c r="AC25" s="83">
        <f>SUM(AC16:AC24)</f>
        <v>5075989</v>
      </c>
      <c r="AD25" s="35">
        <f t="shared" si="37"/>
        <v>1</v>
      </c>
      <c r="AE25" s="47">
        <f t="shared" si="17"/>
        <v>9976509</v>
      </c>
      <c r="AF25" s="35">
        <f t="shared" si="38"/>
        <v>1</v>
      </c>
      <c r="AG25" s="83">
        <f>SUM(AG16:AG24)</f>
        <v>4927003</v>
      </c>
      <c r="AH25" s="35">
        <f t="shared" si="39"/>
        <v>1</v>
      </c>
      <c r="AI25" s="83">
        <f>SUM(AI16:AI24)</f>
        <v>5085051</v>
      </c>
      <c r="AJ25" s="35">
        <f t="shared" si="40"/>
        <v>1</v>
      </c>
      <c r="AK25" s="83">
        <f t="shared" si="21"/>
        <v>10012054</v>
      </c>
      <c r="AL25" s="35">
        <f t="shared" si="41"/>
        <v>1</v>
      </c>
    </row>
    <row r="26" ht="15.0" customHeight="1">
      <c r="A26" s="81" t="s">
        <v>44</v>
      </c>
      <c r="B26" s="25" t="s">
        <v>87</v>
      </c>
      <c r="C26" s="82">
        <v>26759.0</v>
      </c>
      <c r="D26" s="35">
        <f t="shared" ref="D26:D35" si="42">C26/$C$35</f>
        <v>0.04323471056</v>
      </c>
      <c r="E26" s="85">
        <v>25660.0</v>
      </c>
      <c r="F26" s="35">
        <f t="shared" ref="F26:F35" si="43">E26/$E$35</f>
        <v>0.04037797308</v>
      </c>
      <c r="G26" s="47">
        <f t="shared" si="23"/>
        <v>52419</v>
      </c>
      <c r="H26" s="35">
        <f t="shared" ref="H26:H35" si="44">G26/$G$35</f>
        <v>0.04178747293</v>
      </c>
      <c r="I26" s="87">
        <v>25996.0</v>
      </c>
      <c r="J26" s="35">
        <f t="shared" ref="J26:J35" si="45">I26/$I$35</f>
        <v>0.04194181775</v>
      </c>
      <c r="K26" s="85">
        <v>24788.0</v>
      </c>
      <c r="L26" s="35">
        <f t="shared" ref="L26:L35" si="46">K26/$K$35</f>
        <v>0.04072780328</v>
      </c>
      <c r="M26" s="47">
        <f t="shared" si="5"/>
        <v>50784</v>
      </c>
      <c r="N26" s="35">
        <f t="shared" ref="N26:N35" si="47">M26/$M$35</f>
        <v>0.04134033736</v>
      </c>
      <c r="O26" s="83">
        <v>25433.0</v>
      </c>
      <c r="P26" s="35">
        <f t="shared" ref="P26:P35" si="48">O26/$O$35</f>
        <v>0.04092084368</v>
      </c>
      <c r="Q26" s="83">
        <v>24114.0</v>
      </c>
      <c r="R26" s="35">
        <f t="shared" ref="R26:R35" si="49">Q26/$Q$35</f>
        <v>0.03802318541</v>
      </c>
      <c r="S26" s="47">
        <f t="shared" si="9"/>
        <v>49547</v>
      </c>
      <c r="T26" s="35">
        <f t="shared" ref="T26:T35" si="50">S26/$S$35</f>
        <v>0.03945739021</v>
      </c>
      <c r="U26" s="83">
        <v>24672.0</v>
      </c>
      <c r="V26" s="35">
        <f t="shared" ref="V26:V35" si="51">U26/$U$35</f>
        <v>0.0397403476</v>
      </c>
      <c r="W26" s="83">
        <v>23191.0</v>
      </c>
      <c r="X26" s="35">
        <f t="shared" ref="X26:X35" si="52">W26/$W$35</f>
        <v>0.03667564409</v>
      </c>
      <c r="Y26" s="83">
        <f t="shared" si="13"/>
        <v>47863</v>
      </c>
      <c r="Z26" s="35">
        <f t="shared" ref="Z26:Z35" si="53">Y26/$Y$35</f>
        <v>0.03819393739</v>
      </c>
      <c r="AA26" s="83">
        <v>24058.0</v>
      </c>
      <c r="AB26" s="35">
        <f t="shared" ref="AB26:AB35" si="54">AA26/$AA$35</f>
        <v>0.03860385557</v>
      </c>
      <c r="AC26" s="83">
        <v>22524.0</v>
      </c>
      <c r="AD26" s="35">
        <f t="shared" ref="AD26:AD35" si="55">AC26/$AC$35</f>
        <v>0.03551986678</v>
      </c>
      <c r="AE26" s="47">
        <f t="shared" si="17"/>
        <v>46582</v>
      </c>
      <c r="AF26" s="35">
        <f t="shared" ref="AF26:AF35" si="56">AE26/$AE$35</f>
        <v>0.03704846635</v>
      </c>
      <c r="AG26" s="83">
        <v>23422.0</v>
      </c>
      <c r="AH26" s="35">
        <f t="shared" ref="AH26:AH35" si="57">AG26/$AG$35</f>
        <v>0.03803075324</v>
      </c>
      <c r="AI26" s="83">
        <v>22123.0</v>
      </c>
      <c r="AJ26" s="35">
        <f t="shared" ref="AJ26:AJ35" si="58">AI26/$AI$35</f>
        <v>0.03483470717</v>
      </c>
      <c r="AK26" s="83">
        <f t="shared" si="21"/>
        <v>45545</v>
      </c>
      <c r="AL26" s="35">
        <f t="shared" ref="AL26:AL35" si="59">AK26/$AK$35</f>
        <v>0.03640818415</v>
      </c>
    </row>
    <row r="27" ht="15.0" customHeight="1">
      <c r="A27" s="84"/>
      <c r="B27" s="25" t="s">
        <v>88</v>
      </c>
      <c r="C27" s="82">
        <v>64487.0</v>
      </c>
      <c r="D27" s="35">
        <f t="shared" si="42"/>
        <v>0.1041921141</v>
      </c>
      <c r="E27" s="83">
        <v>61106.0</v>
      </c>
      <c r="F27" s="35">
        <f t="shared" si="43"/>
        <v>0.09615496581</v>
      </c>
      <c r="G27" s="47">
        <f t="shared" si="23"/>
        <v>125593</v>
      </c>
      <c r="H27" s="35">
        <f t="shared" si="44"/>
        <v>0.1001204542</v>
      </c>
      <c r="I27" s="83">
        <v>63664.0</v>
      </c>
      <c r="J27" s="35">
        <f t="shared" si="45"/>
        <v>0.1027151825</v>
      </c>
      <c r="K27" s="83">
        <v>60412.0</v>
      </c>
      <c r="L27" s="35">
        <f t="shared" si="46"/>
        <v>0.09925964385</v>
      </c>
      <c r="M27" s="47">
        <f t="shared" si="5"/>
        <v>124076</v>
      </c>
      <c r="N27" s="35">
        <f t="shared" si="47"/>
        <v>0.1010031446</v>
      </c>
      <c r="O27" s="83">
        <v>63308.0</v>
      </c>
      <c r="P27" s="35">
        <f t="shared" si="48"/>
        <v>0.1018604479</v>
      </c>
      <c r="Q27" s="83">
        <v>60087.0</v>
      </c>
      <c r="R27" s="35">
        <f t="shared" si="49"/>
        <v>0.09474575523</v>
      </c>
      <c r="S27" s="47">
        <f t="shared" si="9"/>
        <v>123395</v>
      </c>
      <c r="T27" s="35">
        <f t="shared" si="50"/>
        <v>0.09826719407</v>
      </c>
      <c r="U27" s="83">
        <v>62484.0</v>
      </c>
      <c r="V27" s="35">
        <f t="shared" si="51"/>
        <v>0.1006459095</v>
      </c>
      <c r="W27" s="83">
        <v>59370.0</v>
      </c>
      <c r="X27" s="35">
        <f t="shared" si="52"/>
        <v>0.09389129359</v>
      </c>
      <c r="Y27" s="83">
        <f t="shared" si="13"/>
        <v>121854</v>
      </c>
      <c r="Z27" s="35">
        <f t="shared" si="53"/>
        <v>0.09723761668</v>
      </c>
      <c r="AA27" s="83">
        <v>61410.0</v>
      </c>
      <c r="AB27" s="35">
        <f t="shared" si="54"/>
        <v>0.09853947837</v>
      </c>
      <c r="AC27" s="83">
        <v>58384.0</v>
      </c>
      <c r="AD27" s="35">
        <f t="shared" si="55"/>
        <v>0.09207032063</v>
      </c>
      <c r="AE27" s="47">
        <f t="shared" si="17"/>
        <v>119794</v>
      </c>
      <c r="AF27" s="35">
        <f t="shared" si="56"/>
        <v>0.09527680172</v>
      </c>
      <c r="AG27" s="83">
        <v>60202.0</v>
      </c>
      <c r="AH27" s="35">
        <f t="shared" si="57"/>
        <v>0.09775114878</v>
      </c>
      <c r="AI27" s="83">
        <v>57161.0</v>
      </c>
      <c r="AJ27" s="35">
        <f t="shared" si="58"/>
        <v>0.09000527488</v>
      </c>
      <c r="AK27" s="83">
        <f t="shared" si="21"/>
        <v>117363</v>
      </c>
      <c r="AL27" s="35">
        <f t="shared" si="59"/>
        <v>0.0938187225</v>
      </c>
    </row>
    <row r="28" ht="15.0" customHeight="1">
      <c r="A28" s="84"/>
      <c r="B28" s="25" t="s">
        <v>89</v>
      </c>
      <c r="C28" s="82">
        <v>32452.0</v>
      </c>
      <c r="D28" s="35">
        <f t="shared" si="42"/>
        <v>0.05243293199</v>
      </c>
      <c r="E28" s="85">
        <v>29717.0</v>
      </c>
      <c r="F28" s="35">
        <f t="shared" si="43"/>
        <v>0.04676197295</v>
      </c>
      <c r="G28" s="47">
        <f t="shared" si="23"/>
        <v>62169</v>
      </c>
      <c r="H28" s="35">
        <f t="shared" si="44"/>
        <v>0.0495599955</v>
      </c>
      <c r="I28" s="87">
        <v>32525.0</v>
      </c>
      <c r="J28" s="35">
        <f t="shared" si="45"/>
        <v>0.05247567404</v>
      </c>
      <c r="K28" s="85">
        <v>29955.0</v>
      </c>
      <c r="L28" s="35">
        <f t="shared" si="46"/>
        <v>0.04921741759</v>
      </c>
      <c r="M28" s="47">
        <f t="shared" si="5"/>
        <v>62480</v>
      </c>
      <c r="N28" s="35">
        <f t="shared" si="47"/>
        <v>0.05086137913</v>
      </c>
      <c r="O28" s="83">
        <v>32341.0</v>
      </c>
      <c r="P28" s="35">
        <f t="shared" si="48"/>
        <v>0.0520355839</v>
      </c>
      <c r="Q28" s="83">
        <v>30039.0</v>
      </c>
      <c r="R28" s="35">
        <f t="shared" si="49"/>
        <v>0.04736578197</v>
      </c>
      <c r="S28" s="47">
        <f t="shared" si="9"/>
        <v>62380</v>
      </c>
      <c r="T28" s="35">
        <f t="shared" si="50"/>
        <v>0.04967711468</v>
      </c>
      <c r="U28" s="83">
        <v>32677.0</v>
      </c>
      <c r="V28" s="35">
        <f t="shared" si="51"/>
        <v>0.05263437656</v>
      </c>
      <c r="W28" s="83">
        <v>30481.0</v>
      </c>
      <c r="X28" s="35">
        <f t="shared" si="52"/>
        <v>0.04820448913</v>
      </c>
      <c r="Y28" s="83">
        <f t="shared" si="13"/>
        <v>63158</v>
      </c>
      <c r="Z28" s="35">
        <f t="shared" si="53"/>
        <v>0.050399112</v>
      </c>
      <c r="AA28" s="83">
        <v>33345.0</v>
      </c>
      <c r="AB28" s="35">
        <f t="shared" si="54"/>
        <v>0.05350592585</v>
      </c>
      <c r="AC28" s="83">
        <v>31213.0</v>
      </c>
      <c r="AD28" s="35">
        <f t="shared" si="55"/>
        <v>0.04922223414</v>
      </c>
      <c r="AE28" s="47">
        <f t="shared" si="17"/>
        <v>64558</v>
      </c>
      <c r="AF28" s="35">
        <f t="shared" si="56"/>
        <v>0.05134547444</v>
      </c>
      <c r="AG28" s="83">
        <v>34074.0</v>
      </c>
      <c r="AH28" s="35">
        <f t="shared" si="57"/>
        <v>0.05532661114</v>
      </c>
      <c r="AI28" s="83">
        <v>31712.0</v>
      </c>
      <c r="AJ28" s="35">
        <f t="shared" si="58"/>
        <v>0.04993347347</v>
      </c>
      <c r="AK28" s="83">
        <f t="shared" si="21"/>
        <v>65786</v>
      </c>
      <c r="AL28" s="35">
        <f t="shared" si="59"/>
        <v>0.05258862229</v>
      </c>
    </row>
    <row r="29" ht="15.0" customHeight="1">
      <c r="A29" s="84"/>
      <c r="B29" s="25" t="s">
        <v>90</v>
      </c>
      <c r="C29" s="82">
        <v>99970.0</v>
      </c>
      <c r="D29" s="35">
        <f t="shared" si="42"/>
        <v>0.1615222548</v>
      </c>
      <c r="E29" s="83">
        <v>95045.0</v>
      </c>
      <c r="F29" s="35">
        <f t="shared" si="43"/>
        <v>0.1495605788</v>
      </c>
      <c r="G29" s="47">
        <f t="shared" si="23"/>
        <v>195015</v>
      </c>
      <c r="H29" s="35">
        <f t="shared" si="44"/>
        <v>0.1554624093</v>
      </c>
      <c r="I29" s="83">
        <v>100251.0</v>
      </c>
      <c r="J29" s="35">
        <f t="shared" si="45"/>
        <v>0.1617444673</v>
      </c>
      <c r="K29" s="83">
        <v>68098.0</v>
      </c>
      <c r="L29" s="35">
        <f t="shared" si="46"/>
        <v>0.1118880889</v>
      </c>
      <c r="M29" s="47">
        <f t="shared" si="5"/>
        <v>168349</v>
      </c>
      <c r="N29" s="35">
        <f t="shared" si="47"/>
        <v>0.1370432509</v>
      </c>
      <c r="O29" s="83">
        <v>101493.0</v>
      </c>
      <c r="P29" s="35">
        <f t="shared" si="48"/>
        <v>0.1632988317</v>
      </c>
      <c r="Q29" s="83">
        <v>94714.0</v>
      </c>
      <c r="R29" s="35">
        <f t="shared" si="49"/>
        <v>0.1493459394</v>
      </c>
      <c r="S29" s="47">
        <f t="shared" si="9"/>
        <v>196207</v>
      </c>
      <c r="T29" s="35">
        <f t="shared" si="50"/>
        <v>0.156251966</v>
      </c>
      <c r="U29" s="83">
        <v>101491.0</v>
      </c>
      <c r="V29" s="35">
        <f t="shared" si="51"/>
        <v>0.163476314</v>
      </c>
      <c r="W29" s="83">
        <v>94465.0</v>
      </c>
      <c r="X29" s="35">
        <f t="shared" si="52"/>
        <v>0.1493926402</v>
      </c>
      <c r="Y29" s="83">
        <f t="shared" si="13"/>
        <v>195956</v>
      </c>
      <c r="Z29" s="35">
        <f t="shared" si="53"/>
        <v>0.1563698723</v>
      </c>
      <c r="AA29" s="83">
        <v>102972.0</v>
      </c>
      <c r="AB29" s="35">
        <f t="shared" si="54"/>
        <v>0.1652305352</v>
      </c>
      <c r="AC29" s="83">
        <v>95197.0</v>
      </c>
      <c r="AD29" s="35">
        <f t="shared" si="55"/>
        <v>0.1501236351</v>
      </c>
      <c r="AE29" s="47">
        <f t="shared" si="17"/>
        <v>198169</v>
      </c>
      <c r="AF29" s="35">
        <f t="shared" si="56"/>
        <v>0.1576114707</v>
      </c>
      <c r="AG29" s="83">
        <v>93992.0</v>
      </c>
      <c r="AH29" s="35">
        <f t="shared" si="57"/>
        <v>0.1526166236</v>
      </c>
      <c r="AI29" s="83">
        <v>95507.0</v>
      </c>
      <c r="AJ29" s="35">
        <f t="shared" si="58"/>
        <v>0.1503845942</v>
      </c>
      <c r="AK29" s="83">
        <f t="shared" si="21"/>
        <v>189499</v>
      </c>
      <c r="AL29" s="35">
        <f t="shared" si="59"/>
        <v>0.1514834666</v>
      </c>
    </row>
    <row r="30" ht="15.0" customHeight="1">
      <c r="A30" s="84"/>
      <c r="B30" s="25" t="s">
        <v>91</v>
      </c>
      <c r="C30" s="82">
        <v>141777.0</v>
      </c>
      <c r="D30" s="35">
        <f t="shared" si="42"/>
        <v>0.2290701282</v>
      </c>
      <c r="E30" s="83">
        <v>136268.0</v>
      </c>
      <c r="F30" s="35">
        <f t="shared" si="43"/>
        <v>0.214428123</v>
      </c>
      <c r="G30" s="47">
        <f t="shared" si="23"/>
        <v>278045</v>
      </c>
      <c r="H30" s="35">
        <f t="shared" si="44"/>
        <v>0.2216524144</v>
      </c>
      <c r="I30" s="83">
        <v>138580.0</v>
      </c>
      <c r="J30" s="35">
        <f t="shared" si="45"/>
        <v>0.2235842862</v>
      </c>
      <c r="K30" s="83">
        <v>133400.0</v>
      </c>
      <c r="L30" s="35">
        <f t="shared" si="46"/>
        <v>0.2191822236</v>
      </c>
      <c r="M30" s="47">
        <f t="shared" si="5"/>
        <v>271980</v>
      </c>
      <c r="N30" s="35">
        <f t="shared" si="47"/>
        <v>0.2214032954</v>
      </c>
      <c r="O30" s="83">
        <v>136572.0</v>
      </c>
      <c r="P30" s="35">
        <f t="shared" si="48"/>
        <v>0.2197397658</v>
      </c>
      <c r="Q30" s="83">
        <v>130865.0</v>
      </c>
      <c r="R30" s="35">
        <f t="shared" si="49"/>
        <v>0.2063491813</v>
      </c>
      <c r="S30" s="47">
        <f t="shared" si="9"/>
        <v>267437</v>
      </c>
      <c r="T30" s="35">
        <f t="shared" si="50"/>
        <v>0.2129768919</v>
      </c>
      <c r="U30" s="83">
        <v>132712.0</v>
      </c>
      <c r="V30" s="35">
        <f t="shared" si="51"/>
        <v>0.213765443</v>
      </c>
      <c r="W30" s="83">
        <v>127645.0</v>
      </c>
      <c r="X30" s="35">
        <f t="shared" si="52"/>
        <v>0.2018654905</v>
      </c>
      <c r="Y30" s="83">
        <f t="shared" si="13"/>
        <v>260357</v>
      </c>
      <c r="Z30" s="35">
        <f t="shared" si="53"/>
        <v>0.2077608791</v>
      </c>
      <c r="AA30" s="83">
        <v>129547.0</v>
      </c>
      <c r="AB30" s="35">
        <f t="shared" si="54"/>
        <v>0.2078732096</v>
      </c>
      <c r="AC30" s="83">
        <v>125487.0</v>
      </c>
      <c r="AD30" s="35">
        <f t="shared" si="55"/>
        <v>0.197890318</v>
      </c>
      <c r="AE30" s="47">
        <f t="shared" si="17"/>
        <v>255034</v>
      </c>
      <c r="AF30" s="35">
        <f t="shared" si="56"/>
        <v>0.2028384047</v>
      </c>
      <c r="AG30" s="83">
        <v>127157.0</v>
      </c>
      <c r="AH30" s="35">
        <f t="shared" si="57"/>
        <v>0.2064672739</v>
      </c>
      <c r="AI30" s="83">
        <v>123097.0</v>
      </c>
      <c r="AJ30" s="35">
        <f t="shared" si="58"/>
        <v>0.1938275979</v>
      </c>
      <c r="AK30" s="83">
        <f t="shared" si="21"/>
        <v>250254</v>
      </c>
      <c r="AL30" s="35">
        <f t="shared" si="59"/>
        <v>0.2000503615</v>
      </c>
    </row>
    <row r="31" ht="15.0" customHeight="1">
      <c r="A31" s="84"/>
      <c r="B31" s="25" t="s">
        <v>92</v>
      </c>
      <c r="C31" s="82">
        <v>135476.0</v>
      </c>
      <c r="D31" s="35">
        <f t="shared" si="42"/>
        <v>0.2188895567</v>
      </c>
      <c r="E31" s="83">
        <v>134856.0</v>
      </c>
      <c r="F31" s="35">
        <f t="shared" si="43"/>
        <v>0.2122062329</v>
      </c>
      <c r="G31" s="47">
        <f t="shared" si="23"/>
        <v>270332</v>
      </c>
      <c r="H31" s="35">
        <f t="shared" si="44"/>
        <v>0.2155037511</v>
      </c>
      <c r="I31" s="83">
        <v>138467.0</v>
      </c>
      <c r="J31" s="35">
        <f t="shared" si="45"/>
        <v>0.2234019725</v>
      </c>
      <c r="K31" s="83">
        <v>137524.0</v>
      </c>
      <c r="L31" s="35">
        <f t="shared" si="46"/>
        <v>0.2259581418</v>
      </c>
      <c r="M31" s="47">
        <f t="shared" si="5"/>
        <v>275991</v>
      </c>
      <c r="N31" s="35">
        <f t="shared" si="47"/>
        <v>0.2246684201</v>
      </c>
      <c r="O31" s="83">
        <v>141491.0</v>
      </c>
      <c r="P31" s="35">
        <f t="shared" si="48"/>
        <v>0.2276542717</v>
      </c>
      <c r="Q31" s="83">
        <v>139717.0</v>
      </c>
      <c r="R31" s="35">
        <f t="shared" si="49"/>
        <v>0.2203070994</v>
      </c>
      <c r="S31" s="47">
        <f t="shared" si="9"/>
        <v>281208</v>
      </c>
      <c r="T31" s="35">
        <f t="shared" si="50"/>
        <v>0.2239436048</v>
      </c>
      <c r="U31" s="83">
        <v>144018.0</v>
      </c>
      <c r="V31" s="35">
        <f t="shared" si="51"/>
        <v>0.2319765475</v>
      </c>
      <c r="W31" s="83">
        <v>141452.0</v>
      </c>
      <c r="X31" s="35">
        <f t="shared" si="52"/>
        <v>0.2237007118</v>
      </c>
      <c r="Y31" s="83">
        <f t="shared" si="13"/>
        <v>285470</v>
      </c>
      <c r="Z31" s="35">
        <f t="shared" si="53"/>
        <v>0.2278006666</v>
      </c>
      <c r="AA31" s="83">
        <v>146688.0</v>
      </c>
      <c r="AB31" s="35">
        <f t="shared" si="54"/>
        <v>0.2353779352</v>
      </c>
      <c r="AC31" s="83">
        <v>143733.0</v>
      </c>
      <c r="AD31" s="35">
        <f t="shared" si="55"/>
        <v>0.2266638702</v>
      </c>
      <c r="AE31" s="47">
        <f t="shared" si="17"/>
        <v>290421</v>
      </c>
      <c r="AF31" s="35">
        <f t="shared" si="56"/>
        <v>0.2309830545</v>
      </c>
      <c r="AG31" s="83">
        <v>149000.0</v>
      </c>
      <c r="AH31" s="35">
        <f t="shared" si="57"/>
        <v>0.2419341744</v>
      </c>
      <c r="AI31" s="83">
        <v>145802.0</v>
      </c>
      <c r="AJ31" s="35">
        <f t="shared" si="58"/>
        <v>0.2295787178</v>
      </c>
      <c r="AK31" s="83">
        <f t="shared" si="21"/>
        <v>294802</v>
      </c>
      <c r="AL31" s="35">
        <f t="shared" si="59"/>
        <v>0.2356615546</v>
      </c>
    </row>
    <row r="32" ht="15.0" customHeight="1">
      <c r="A32" s="84"/>
      <c r="B32" s="25" t="s">
        <v>67</v>
      </c>
      <c r="C32" s="82">
        <v>64247.0</v>
      </c>
      <c r="D32" s="35">
        <f t="shared" si="42"/>
        <v>0.1038043443</v>
      </c>
      <c r="E32" s="83">
        <v>69541.0</v>
      </c>
      <c r="F32" s="35">
        <f t="shared" si="43"/>
        <v>0.1094280836</v>
      </c>
      <c r="G32" s="47">
        <f t="shared" si="23"/>
        <v>133788</v>
      </c>
      <c r="H32" s="35">
        <f t="shared" si="44"/>
        <v>0.106653359</v>
      </c>
      <c r="I32" s="83">
        <v>65212.0</v>
      </c>
      <c r="J32" s="35">
        <f t="shared" si="45"/>
        <v>0.1052127181</v>
      </c>
      <c r="K32" s="83">
        <v>70404.0</v>
      </c>
      <c r="L32" s="35">
        <f t="shared" si="46"/>
        <v>0.115676951</v>
      </c>
      <c r="M32" s="47">
        <f t="shared" si="5"/>
        <v>135616</v>
      </c>
      <c r="N32" s="35">
        <f t="shared" si="47"/>
        <v>0.1103971958</v>
      </c>
      <c r="O32" s="83">
        <v>66534.0</v>
      </c>
      <c r="P32" s="35">
        <f t="shared" si="48"/>
        <v>0.1070509737</v>
      </c>
      <c r="Q32" s="83">
        <v>72029.0</v>
      </c>
      <c r="R32" s="35">
        <f t="shared" si="49"/>
        <v>0.1135760148</v>
      </c>
      <c r="S32" s="47">
        <f t="shared" si="9"/>
        <v>138563</v>
      </c>
      <c r="T32" s="35">
        <f t="shared" si="50"/>
        <v>0.1103464258</v>
      </c>
      <c r="U32" s="83">
        <v>66585.0</v>
      </c>
      <c r="V32" s="35">
        <f t="shared" si="51"/>
        <v>0.1072515826</v>
      </c>
      <c r="W32" s="83">
        <v>71543.0</v>
      </c>
      <c r="X32" s="35">
        <f t="shared" si="52"/>
        <v>0.1131424089</v>
      </c>
      <c r="Y32" s="83">
        <f t="shared" si="13"/>
        <v>138128</v>
      </c>
      <c r="Z32" s="35">
        <f t="shared" si="53"/>
        <v>0.1102240182</v>
      </c>
      <c r="AA32" s="83">
        <v>67002.0</v>
      </c>
      <c r="AB32" s="35">
        <f t="shared" si="54"/>
        <v>0.1075124919</v>
      </c>
      <c r="AC32" s="83">
        <v>72045.0</v>
      </c>
      <c r="AD32" s="35">
        <f t="shared" si="55"/>
        <v>0.1136134258</v>
      </c>
      <c r="AE32" s="47">
        <f t="shared" si="17"/>
        <v>139047</v>
      </c>
      <c r="AF32" s="35">
        <f t="shared" si="56"/>
        <v>0.1105894573</v>
      </c>
      <c r="AG32" s="83">
        <v>67210.0</v>
      </c>
      <c r="AH32" s="35">
        <f t="shared" si="57"/>
        <v>0.1091301736</v>
      </c>
      <c r="AI32" s="83">
        <v>72166.0</v>
      </c>
      <c r="AJ32" s="35">
        <f t="shared" si="58"/>
        <v>0.1136320335</v>
      </c>
      <c r="AK32" s="83">
        <f t="shared" si="21"/>
        <v>139376</v>
      </c>
      <c r="AL32" s="35">
        <f t="shared" si="59"/>
        <v>0.1114156784</v>
      </c>
    </row>
    <row r="33" ht="15.0" customHeight="1">
      <c r="A33" s="84"/>
      <c r="B33" s="25" t="s">
        <v>93</v>
      </c>
      <c r="C33" s="26">
        <v>41918.0</v>
      </c>
      <c r="D33" s="35">
        <f t="shared" si="42"/>
        <v>0.06772721691</v>
      </c>
      <c r="E33" s="83">
        <v>54798.0</v>
      </c>
      <c r="F33" s="35">
        <f t="shared" si="43"/>
        <v>0.08622884523</v>
      </c>
      <c r="G33" s="47">
        <f t="shared" si="23"/>
        <v>96716</v>
      </c>
      <c r="H33" s="35">
        <f t="shared" si="44"/>
        <v>0.07710023525</v>
      </c>
      <c r="I33" s="83">
        <v>42793.0</v>
      </c>
      <c r="J33" s="35">
        <f t="shared" si="45"/>
        <v>0.06904201442</v>
      </c>
      <c r="K33" s="83">
        <v>55164.0</v>
      </c>
      <c r="L33" s="35">
        <f t="shared" si="46"/>
        <v>0.09063694288</v>
      </c>
      <c r="M33" s="47">
        <f t="shared" si="5"/>
        <v>97957</v>
      </c>
      <c r="N33" s="35">
        <f t="shared" si="47"/>
        <v>0.07974116703</v>
      </c>
      <c r="O33" s="83">
        <v>41993.0</v>
      </c>
      <c r="P33" s="35">
        <f t="shared" si="48"/>
        <v>0.06756532806</v>
      </c>
      <c r="Q33" s="83">
        <v>54280.0</v>
      </c>
      <c r="R33" s="35">
        <f t="shared" si="49"/>
        <v>0.08558922219</v>
      </c>
      <c r="S33" s="47">
        <f t="shared" si="9"/>
        <v>96273</v>
      </c>
      <c r="T33" s="35">
        <f t="shared" si="50"/>
        <v>0.07666824081</v>
      </c>
      <c r="U33" s="83">
        <v>43577.0</v>
      </c>
      <c r="V33" s="35">
        <f t="shared" si="51"/>
        <v>0.07019151781</v>
      </c>
      <c r="W33" s="83">
        <v>55669.0</v>
      </c>
      <c r="X33" s="35">
        <f t="shared" si="52"/>
        <v>0.08803830929</v>
      </c>
      <c r="Y33" s="83">
        <f t="shared" si="13"/>
        <v>99246</v>
      </c>
      <c r="Z33" s="35">
        <f t="shared" si="53"/>
        <v>0.07919678061</v>
      </c>
      <c r="AA33" s="83">
        <v>44852.0</v>
      </c>
      <c r="AB33" s="35">
        <f t="shared" si="54"/>
        <v>0.071970244</v>
      </c>
      <c r="AC33" s="83">
        <v>56696.0</v>
      </c>
      <c r="AD33" s="35">
        <f t="shared" si="55"/>
        <v>0.0894083807</v>
      </c>
      <c r="AE33" s="47">
        <f t="shared" si="17"/>
        <v>101548</v>
      </c>
      <c r="AF33" s="35">
        <f t="shared" si="56"/>
        <v>0.08076505218</v>
      </c>
      <c r="AG33" s="83">
        <v>46194.0</v>
      </c>
      <c r="AH33" s="35">
        <f t="shared" si="57"/>
        <v>0.07500608895</v>
      </c>
      <c r="AI33" s="83">
        <v>57509.0</v>
      </c>
      <c r="AJ33" s="35">
        <f t="shared" si="58"/>
        <v>0.09055323303</v>
      </c>
      <c r="AK33" s="83">
        <f t="shared" si="21"/>
        <v>103703</v>
      </c>
      <c r="AL33" s="35">
        <f t="shared" si="59"/>
        <v>0.08289906511</v>
      </c>
    </row>
    <row r="34" ht="15.0" customHeight="1">
      <c r="A34" s="84"/>
      <c r="B34" s="25" t="s">
        <v>94</v>
      </c>
      <c r="C34" s="82">
        <v>11838.0</v>
      </c>
      <c r="D34" s="35">
        <f t="shared" si="42"/>
        <v>0.01912674254</v>
      </c>
      <c r="E34" s="83">
        <v>28504.0</v>
      </c>
      <c r="F34" s="35">
        <f t="shared" si="43"/>
        <v>0.04485322465</v>
      </c>
      <c r="G34" s="47">
        <f t="shared" si="23"/>
        <v>40342</v>
      </c>
      <c r="H34" s="35">
        <f t="shared" si="44"/>
        <v>0.03215990829</v>
      </c>
      <c r="I34" s="83">
        <v>12323.0</v>
      </c>
      <c r="J34" s="35">
        <f t="shared" si="45"/>
        <v>0.01988186721</v>
      </c>
      <c r="K34" s="83">
        <v>28881.0</v>
      </c>
      <c r="L34" s="35">
        <f t="shared" si="46"/>
        <v>0.0474527871</v>
      </c>
      <c r="M34" s="47">
        <f t="shared" si="5"/>
        <v>41204</v>
      </c>
      <c r="N34" s="35">
        <f t="shared" si="47"/>
        <v>0.03354180963</v>
      </c>
      <c r="O34" s="83">
        <v>12352.0</v>
      </c>
      <c r="P34" s="35">
        <f t="shared" si="48"/>
        <v>0.01987395357</v>
      </c>
      <c r="Q34" s="83">
        <v>28347.0</v>
      </c>
      <c r="R34" s="35">
        <f t="shared" si="49"/>
        <v>0.04469782022</v>
      </c>
      <c r="S34" s="47">
        <f t="shared" si="9"/>
        <v>40699</v>
      </c>
      <c r="T34" s="35">
        <f t="shared" si="50"/>
        <v>0.0324111717</v>
      </c>
      <c r="U34" s="83">
        <v>12614.0</v>
      </c>
      <c r="V34" s="35">
        <f t="shared" si="51"/>
        <v>0.02031796144</v>
      </c>
      <c r="W34" s="83">
        <v>28511.0</v>
      </c>
      <c r="X34" s="35">
        <f t="shared" si="52"/>
        <v>0.04508901249</v>
      </c>
      <c r="Y34" s="83">
        <f t="shared" si="13"/>
        <v>41125</v>
      </c>
      <c r="Z34" s="35">
        <f t="shared" si="53"/>
        <v>0.03281711709</v>
      </c>
      <c r="AA34" s="83">
        <v>13328.0</v>
      </c>
      <c r="AB34" s="35">
        <f t="shared" si="54"/>
        <v>0.02138632418</v>
      </c>
      <c r="AC34" s="83">
        <v>28845.0</v>
      </c>
      <c r="AD34" s="35">
        <f t="shared" si="55"/>
        <v>0.04548794873</v>
      </c>
      <c r="AE34" s="47">
        <f t="shared" si="17"/>
        <v>42173</v>
      </c>
      <c r="AF34" s="35">
        <f t="shared" si="56"/>
        <v>0.03354181811</v>
      </c>
      <c r="AG34" s="83">
        <v>14619.0</v>
      </c>
      <c r="AH34" s="35">
        <f t="shared" si="57"/>
        <v>0.02373715232</v>
      </c>
      <c r="AI34" s="83">
        <v>30008.0</v>
      </c>
      <c r="AJ34" s="35">
        <f t="shared" si="58"/>
        <v>0.04725036806</v>
      </c>
      <c r="AK34" s="83">
        <f t="shared" si="21"/>
        <v>44627</v>
      </c>
      <c r="AL34" s="35">
        <f t="shared" si="59"/>
        <v>0.0356743448</v>
      </c>
    </row>
    <row r="35" ht="15.0" customHeight="1">
      <c r="A35" s="54"/>
      <c r="B35" s="25" t="s">
        <v>69</v>
      </c>
      <c r="C35" s="86">
        <f>SUM(C26:C34)</f>
        <v>618924</v>
      </c>
      <c r="D35" s="35">
        <f t="shared" si="42"/>
        <v>1</v>
      </c>
      <c r="E35" s="83">
        <f>SUM(E26:E34)</f>
        <v>635495</v>
      </c>
      <c r="F35" s="35">
        <f t="shared" si="43"/>
        <v>1</v>
      </c>
      <c r="G35" s="47">
        <f t="shared" si="23"/>
        <v>1254419</v>
      </c>
      <c r="H35" s="35">
        <f t="shared" si="44"/>
        <v>1</v>
      </c>
      <c r="I35" s="83">
        <f>SUM(I26:I34)</f>
        <v>619811</v>
      </c>
      <c r="J35" s="35">
        <f t="shared" si="45"/>
        <v>1</v>
      </c>
      <c r="K35" s="83">
        <f>SUM(K26:K34)</f>
        <v>608626</v>
      </c>
      <c r="L35" s="35">
        <f t="shared" si="46"/>
        <v>1</v>
      </c>
      <c r="M35" s="47">
        <f t="shared" si="5"/>
        <v>1228437</v>
      </c>
      <c r="N35" s="35">
        <f t="shared" si="47"/>
        <v>1</v>
      </c>
      <c r="O35" s="83">
        <f>SUM(O26:O34)</f>
        <v>621517</v>
      </c>
      <c r="P35" s="35">
        <f t="shared" si="48"/>
        <v>1</v>
      </c>
      <c r="Q35" s="83">
        <f>SUM(Q26:Q34)</f>
        <v>634192</v>
      </c>
      <c r="R35" s="35">
        <f t="shared" si="49"/>
        <v>1</v>
      </c>
      <c r="S35" s="47">
        <f t="shared" si="9"/>
        <v>1255709</v>
      </c>
      <c r="T35" s="35">
        <f t="shared" si="50"/>
        <v>1</v>
      </c>
      <c r="U35" s="83">
        <f>SUM(U26:U34)</f>
        <v>620830</v>
      </c>
      <c r="V35" s="35">
        <f t="shared" si="51"/>
        <v>1</v>
      </c>
      <c r="W35" s="83">
        <f>SUM(W26:W34)</f>
        <v>632327</v>
      </c>
      <c r="X35" s="35">
        <f t="shared" si="52"/>
        <v>1</v>
      </c>
      <c r="Y35" s="83">
        <f t="shared" si="13"/>
        <v>1253157</v>
      </c>
      <c r="Z35" s="35">
        <f t="shared" si="53"/>
        <v>1</v>
      </c>
      <c r="AA35" s="83">
        <f>SUM(AA26:AA34)</f>
        <v>623202</v>
      </c>
      <c r="AB35" s="35">
        <f t="shared" si="54"/>
        <v>1</v>
      </c>
      <c r="AC35" s="83">
        <f>SUM(AC26:AC34)</f>
        <v>634124</v>
      </c>
      <c r="AD35" s="35">
        <f t="shared" si="55"/>
        <v>1</v>
      </c>
      <c r="AE35" s="47">
        <f t="shared" si="17"/>
        <v>1257326</v>
      </c>
      <c r="AF35" s="35">
        <f t="shared" si="56"/>
        <v>1</v>
      </c>
      <c r="AG35" s="83">
        <f>SUM(AG26:AG34)</f>
        <v>615870</v>
      </c>
      <c r="AH35" s="35">
        <f t="shared" si="57"/>
        <v>1</v>
      </c>
      <c r="AI35" s="83">
        <f>SUM(AI26:AI34)</f>
        <v>635085</v>
      </c>
      <c r="AJ35" s="35">
        <f t="shared" si="58"/>
        <v>1</v>
      </c>
      <c r="AK35" s="83">
        <f t="shared" si="21"/>
        <v>1250955</v>
      </c>
      <c r="AL35" s="35">
        <f t="shared" si="59"/>
        <v>1</v>
      </c>
    </row>
    <row r="36" ht="15.0" customHeight="1">
      <c r="A36" s="88"/>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row>
    <row r="37" ht="15.0" customHeight="1">
      <c r="A37" s="88"/>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row>
    <row r="38" ht="15.0" customHeight="1">
      <c r="A38" s="88"/>
      <c r="B38" s="24"/>
      <c r="C38" s="31">
        <v>2025.0</v>
      </c>
      <c r="D38" s="6"/>
      <c r="E38" s="6"/>
      <c r="F38" s="6"/>
      <c r="G38" s="6"/>
      <c r="H38" s="7"/>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row>
    <row r="39" ht="15.0" customHeight="1">
      <c r="A39" s="88"/>
      <c r="B39" s="24"/>
      <c r="C39" s="36" t="s">
        <v>52</v>
      </c>
      <c r="D39" s="10"/>
      <c r="E39" s="37" t="s">
        <v>53</v>
      </c>
      <c r="F39" s="10"/>
      <c r="G39" s="37" t="s">
        <v>69</v>
      </c>
      <c r="H39" s="10"/>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row>
    <row r="40" ht="15.0" customHeight="1">
      <c r="A40" s="88"/>
      <c r="B40" s="24"/>
      <c r="C40" s="78" t="s">
        <v>47</v>
      </c>
      <c r="D40" s="79" t="s">
        <v>57</v>
      </c>
      <c r="E40" s="80" t="s">
        <v>47</v>
      </c>
      <c r="F40" s="80" t="s">
        <v>57</v>
      </c>
      <c r="G40" s="80" t="s">
        <v>47</v>
      </c>
      <c r="H40" s="80" t="s">
        <v>57</v>
      </c>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row>
    <row r="41" ht="15.0" customHeight="1">
      <c r="A41" s="81" t="s">
        <v>42</v>
      </c>
      <c r="B41" s="25" t="s">
        <v>87</v>
      </c>
      <c r="C41" s="43">
        <v>1021486.0</v>
      </c>
      <c r="D41" s="35">
        <f>C41/C50</f>
        <v>0.03537393462</v>
      </c>
      <c r="E41" s="85">
        <v>961242.0</v>
      </c>
      <c r="F41" s="35">
        <f t="shared" ref="F41:F50" si="60">E41/$E$50</f>
        <v>0.0319802346</v>
      </c>
      <c r="G41" s="83">
        <f t="shared" ref="G41:G70" si="61">SUM(C41,E41)</f>
        <v>1982728</v>
      </c>
      <c r="H41" s="35">
        <f t="shared" ref="H41:H50" si="62">G41/$G$50</f>
        <v>0.03364309304</v>
      </c>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row>
    <row r="42" ht="15.0" customHeight="1">
      <c r="A42" s="84"/>
      <c r="B42" s="25" t="s">
        <v>88</v>
      </c>
      <c r="C42" s="43">
        <v>2595178.0</v>
      </c>
      <c r="D42" s="35">
        <f>C42/C50</f>
        <v>0.08987069516</v>
      </c>
      <c r="E42" s="83">
        <v>2441259.0</v>
      </c>
      <c r="F42" s="35">
        <f t="shared" si="60"/>
        <v>0.08121995871</v>
      </c>
      <c r="G42" s="83">
        <f t="shared" si="61"/>
        <v>5036437</v>
      </c>
      <c r="H42" s="35">
        <f t="shared" si="62"/>
        <v>0.08545868045</v>
      </c>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row>
    <row r="43" ht="15.0" customHeight="1">
      <c r="A43" s="84"/>
      <c r="B43" s="25" t="s">
        <v>89</v>
      </c>
      <c r="C43" s="89">
        <v>1515055.0</v>
      </c>
      <c r="D43" s="35">
        <f>C43/C50</f>
        <v>0.05246616843</v>
      </c>
      <c r="E43" s="85">
        <v>1407414.0</v>
      </c>
      <c r="F43" s="35">
        <f t="shared" si="60"/>
        <v>0.04682424395</v>
      </c>
      <c r="G43" s="83">
        <f t="shared" si="61"/>
        <v>2922469</v>
      </c>
      <c r="H43" s="35">
        <f t="shared" si="62"/>
        <v>0.04958869622</v>
      </c>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row>
    <row r="44" ht="15.0" customHeight="1">
      <c r="A44" s="84"/>
      <c r="B44" s="25" t="s">
        <v>90</v>
      </c>
      <c r="C44" s="43">
        <v>4823548.0</v>
      </c>
      <c r="D44" s="35">
        <f>C44/C50</f>
        <v>0.1670388744</v>
      </c>
      <c r="E44" s="83">
        <v>4420702.0</v>
      </c>
      <c r="F44" s="35">
        <f t="shared" si="60"/>
        <v>0.1470754369</v>
      </c>
      <c r="G44" s="83">
        <f t="shared" si="61"/>
        <v>9244250</v>
      </c>
      <c r="H44" s="35">
        <f t="shared" si="62"/>
        <v>0.1568572002</v>
      </c>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row>
    <row r="45" ht="15.0" customHeight="1">
      <c r="A45" s="84"/>
      <c r="B45" s="25" t="s">
        <v>91</v>
      </c>
      <c r="C45" s="43">
        <v>5604163.0</v>
      </c>
      <c r="D45" s="35">
        <f>C45/C50</f>
        <v>0.1940714759</v>
      </c>
      <c r="E45" s="83">
        <v>5561813.0</v>
      </c>
      <c r="F45" s="35">
        <f t="shared" si="60"/>
        <v>0.1850398594</v>
      </c>
      <c r="G45" s="83">
        <f t="shared" si="61"/>
        <v>11165976</v>
      </c>
      <c r="H45" s="35">
        <f t="shared" si="62"/>
        <v>0.1894652062</v>
      </c>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row>
    <row r="46" ht="15.0" customHeight="1">
      <c r="A46" s="84"/>
      <c r="B46" s="25" t="s">
        <v>92</v>
      </c>
      <c r="C46" s="43">
        <v>6869013.0</v>
      </c>
      <c r="D46" s="35">
        <f>C46/C50</f>
        <v>0.2378730759</v>
      </c>
      <c r="E46" s="83">
        <v>7140131.0</v>
      </c>
      <c r="F46" s="35">
        <f t="shared" si="60"/>
        <v>0.2375500285</v>
      </c>
      <c r="G46" s="83">
        <f t="shared" si="61"/>
        <v>14009144</v>
      </c>
      <c r="H46" s="35">
        <f t="shared" si="62"/>
        <v>0.2377083165</v>
      </c>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row>
    <row r="47" ht="15.0" customHeight="1">
      <c r="A47" s="84"/>
      <c r="B47" s="25" t="s">
        <v>67</v>
      </c>
      <c r="C47" s="43">
        <v>3311485.0</v>
      </c>
      <c r="D47" s="35">
        <f>C47/C50</f>
        <v>0.1146763185</v>
      </c>
      <c r="E47" s="83">
        <v>3685231.0</v>
      </c>
      <c r="F47" s="35">
        <f t="shared" si="60"/>
        <v>0.1226065361</v>
      </c>
      <c r="G47" s="83">
        <f t="shared" si="61"/>
        <v>6996716</v>
      </c>
      <c r="H47" s="35">
        <f t="shared" si="62"/>
        <v>0.118720857</v>
      </c>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row>
    <row r="48" ht="15.0" customHeight="1">
      <c r="A48" s="84"/>
      <c r="B48" s="25" t="s">
        <v>93</v>
      </c>
      <c r="C48" s="43">
        <v>2277599.0</v>
      </c>
      <c r="D48" s="35">
        <f>C48/C50</f>
        <v>0.07887297342</v>
      </c>
      <c r="E48" s="83">
        <v>2876531.0</v>
      </c>
      <c r="F48" s="35">
        <f t="shared" si="60"/>
        <v>0.09570132831</v>
      </c>
      <c r="G48" s="83">
        <f t="shared" si="61"/>
        <v>5154130</v>
      </c>
      <c r="H48" s="35">
        <f t="shared" si="62"/>
        <v>0.08745570503</v>
      </c>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row>
    <row r="49" ht="15.0" customHeight="1">
      <c r="A49" s="84"/>
      <c r="B49" s="25" t="s">
        <v>94</v>
      </c>
      <c r="C49" s="43">
        <v>859272.0</v>
      </c>
      <c r="D49" s="35">
        <f>C49/C50</f>
        <v>0.02975648374</v>
      </c>
      <c r="E49" s="83">
        <v>1563055.0</v>
      </c>
      <c r="F49" s="35">
        <f t="shared" si="60"/>
        <v>0.05200237359</v>
      </c>
      <c r="G49" s="83">
        <f t="shared" si="61"/>
        <v>2422327</v>
      </c>
      <c r="H49" s="35">
        <f t="shared" si="62"/>
        <v>0.04110224531</v>
      </c>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row>
    <row r="50" ht="15.0" customHeight="1">
      <c r="A50" s="54"/>
      <c r="B50" s="25" t="s">
        <v>69</v>
      </c>
      <c r="C50" s="43">
        <f>SUM(C41:C49)</f>
        <v>28876799</v>
      </c>
      <c r="D50" s="35">
        <f>C50/C50</f>
        <v>1</v>
      </c>
      <c r="E50" s="83">
        <f>SUM(E41:E49)</f>
        <v>30057378</v>
      </c>
      <c r="F50" s="35">
        <f t="shared" si="60"/>
        <v>1</v>
      </c>
      <c r="G50" s="83">
        <f t="shared" si="61"/>
        <v>58934177</v>
      </c>
      <c r="H50" s="35">
        <f t="shared" si="62"/>
        <v>1</v>
      </c>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row>
    <row r="51" ht="15.0" customHeight="1">
      <c r="A51" s="81" t="s">
        <v>43</v>
      </c>
      <c r="B51" s="25" t="s">
        <v>87</v>
      </c>
      <c r="C51" s="43">
        <v>176893.0</v>
      </c>
      <c r="D51" s="35">
        <f>C51/C60</f>
        <v>0.03576203337</v>
      </c>
      <c r="E51" s="83">
        <v>166695.0</v>
      </c>
      <c r="F51" s="35">
        <f t="shared" ref="F51:F60" si="63">E51/$E$60</f>
        <v>0.03275536491</v>
      </c>
      <c r="G51" s="83">
        <f t="shared" si="61"/>
        <v>343588</v>
      </c>
      <c r="H51" s="35">
        <f t="shared" ref="H51:H60" si="64">G51/$G$60</f>
        <v>0.03423732256</v>
      </c>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row>
    <row r="52" ht="15.0" customHeight="1">
      <c r="A52" s="84"/>
      <c r="B52" s="25" t="s">
        <v>88</v>
      </c>
      <c r="C52" s="43">
        <v>454451.0</v>
      </c>
      <c r="D52" s="35">
        <f>C52/C60</f>
        <v>0.09187526825</v>
      </c>
      <c r="E52" s="83">
        <v>426813.0</v>
      </c>
      <c r="F52" s="35">
        <f t="shared" si="63"/>
        <v>0.08386823577</v>
      </c>
      <c r="G52" s="83">
        <f t="shared" si="61"/>
        <v>881264</v>
      </c>
      <c r="H52" s="35">
        <f t="shared" si="64"/>
        <v>0.08781482422</v>
      </c>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row>
    <row r="53" ht="15.0" customHeight="1">
      <c r="A53" s="84"/>
      <c r="B53" s="25" t="s">
        <v>89</v>
      </c>
      <c r="C53" s="90">
        <v>261918.0</v>
      </c>
      <c r="D53" s="35">
        <f>C53/C60</f>
        <v>0.05295133361</v>
      </c>
      <c r="E53" s="83">
        <v>242978.0</v>
      </c>
      <c r="F53" s="35">
        <f t="shared" si="63"/>
        <v>0.0477448817</v>
      </c>
      <c r="G53" s="83">
        <f t="shared" si="61"/>
        <v>504896</v>
      </c>
      <c r="H53" s="35">
        <f t="shared" si="64"/>
        <v>0.05031109122</v>
      </c>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row>
    <row r="54" ht="15.0" customHeight="1">
      <c r="A54" s="84"/>
      <c r="B54" s="25" t="s">
        <v>90</v>
      </c>
      <c r="C54" s="43">
        <v>831668.0</v>
      </c>
      <c r="D54" s="35">
        <f>C54/C60</f>
        <v>0.168136324</v>
      </c>
      <c r="E54" s="83">
        <v>760713.0</v>
      </c>
      <c r="F54" s="35">
        <f t="shared" si="63"/>
        <v>0.14947918</v>
      </c>
      <c r="G54" s="83">
        <f t="shared" si="61"/>
        <v>1592381</v>
      </c>
      <c r="H54" s="35">
        <f t="shared" si="64"/>
        <v>0.1586751049</v>
      </c>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row>
    <row r="55" ht="15.0" customHeight="1">
      <c r="A55" s="84"/>
      <c r="B55" s="25" t="s">
        <v>91</v>
      </c>
      <c r="C55" s="43">
        <v>980100.0</v>
      </c>
      <c r="D55" s="35">
        <f>C55/C60</f>
        <v>0.1981444653</v>
      </c>
      <c r="E55" s="83">
        <v>954468.0</v>
      </c>
      <c r="F55" s="35">
        <f t="shared" si="63"/>
        <v>0.187551802</v>
      </c>
      <c r="G55" s="83">
        <f t="shared" si="61"/>
        <v>1934568</v>
      </c>
      <c r="H55" s="35">
        <f t="shared" si="64"/>
        <v>0.1927728227</v>
      </c>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row>
    <row r="56" ht="15.0" customHeight="1">
      <c r="A56" s="84"/>
      <c r="B56" s="25" t="s">
        <v>92</v>
      </c>
      <c r="C56" s="43">
        <v>1190208.0</v>
      </c>
      <c r="D56" s="35">
        <f>C56/C60</f>
        <v>0.2406214956</v>
      </c>
      <c r="E56" s="83">
        <v>1194509.0</v>
      </c>
      <c r="F56" s="35">
        <f t="shared" si="63"/>
        <v>0.2347195668</v>
      </c>
      <c r="G56" s="83">
        <f t="shared" si="61"/>
        <v>2384717</v>
      </c>
      <c r="H56" s="35">
        <f t="shared" si="64"/>
        <v>0.2376285701</v>
      </c>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row>
    <row r="57" ht="15.0" customHeight="1">
      <c r="A57" s="84"/>
      <c r="B57" s="25" t="s">
        <v>67</v>
      </c>
      <c r="C57" s="43">
        <v>532861.0</v>
      </c>
      <c r="D57" s="35">
        <f>C57/C60</f>
        <v>0.1077272298</v>
      </c>
      <c r="E57" s="83">
        <v>591220.0</v>
      </c>
      <c r="F57" s="35">
        <f t="shared" si="63"/>
        <v>0.1161740115</v>
      </c>
      <c r="G57" s="83">
        <f t="shared" si="61"/>
        <v>1124081</v>
      </c>
      <c r="H57" s="35">
        <f t="shared" si="64"/>
        <v>0.1120106749</v>
      </c>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row>
    <row r="58">
      <c r="A58" s="84"/>
      <c r="B58" s="25" t="s">
        <v>93</v>
      </c>
      <c r="C58" s="43">
        <v>377170.0</v>
      </c>
      <c r="D58" s="35">
        <f>C58/C60</f>
        <v>0.07625155391</v>
      </c>
      <c r="E58" s="83">
        <v>482898.0</v>
      </c>
      <c r="F58" s="35">
        <f t="shared" si="63"/>
        <v>0.09488887011</v>
      </c>
      <c r="G58" s="83">
        <f t="shared" si="61"/>
        <v>860068</v>
      </c>
      <c r="H58" s="35">
        <f t="shared" si="64"/>
        <v>0.08570271819</v>
      </c>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row>
    <row r="59">
      <c r="A59" s="84"/>
      <c r="B59" s="25" t="s">
        <v>94</v>
      </c>
      <c r="C59" s="43">
        <v>141122.0</v>
      </c>
      <c r="D59" s="35">
        <f>C59/C60</f>
        <v>0.02853029613</v>
      </c>
      <c r="E59" s="83">
        <v>268796.0</v>
      </c>
      <c r="F59" s="35">
        <f t="shared" si="63"/>
        <v>0.05281808732</v>
      </c>
      <c r="G59" s="83">
        <f t="shared" si="61"/>
        <v>409918</v>
      </c>
      <c r="H59" s="35">
        <f t="shared" si="64"/>
        <v>0.04084687122</v>
      </c>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row>
    <row r="60">
      <c r="A60" s="54"/>
      <c r="B60" s="25" t="s">
        <v>69</v>
      </c>
      <c r="C60" s="43">
        <f>SUM(C51:C59)</f>
        <v>4946391</v>
      </c>
      <c r="D60" s="35">
        <f>C60/C60</f>
        <v>1</v>
      </c>
      <c r="E60" s="83">
        <f>SUM(E51:E59)</f>
        <v>5089090</v>
      </c>
      <c r="F60" s="35">
        <f t="shared" si="63"/>
        <v>1</v>
      </c>
      <c r="G60" s="83">
        <f t="shared" si="61"/>
        <v>10035481</v>
      </c>
      <c r="H60" s="35">
        <f t="shared" si="64"/>
        <v>1</v>
      </c>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row>
    <row r="61">
      <c r="A61" s="81" t="s">
        <v>44</v>
      </c>
      <c r="B61" s="25" t="s">
        <v>87</v>
      </c>
      <c r="C61" s="90">
        <v>22953.0</v>
      </c>
      <c r="D61" s="35">
        <f t="shared" ref="D61:D70" si="65">C61/$C$70</f>
        <v>0.03645653821</v>
      </c>
      <c r="E61" s="83">
        <v>21647.0</v>
      </c>
      <c r="F61" s="35">
        <f t="shared" ref="F61:F70" si="66">E61/$E$70</f>
        <v>0.03400734283</v>
      </c>
      <c r="G61" s="83">
        <f t="shared" si="61"/>
        <v>44600</v>
      </c>
      <c r="H61" s="35">
        <f t="shared" ref="H61:H70" si="67">G61/$G$70</f>
        <v>0.03522522821</v>
      </c>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row>
    <row r="62">
      <c r="A62" s="84"/>
      <c r="B62" s="25" t="s">
        <v>88</v>
      </c>
      <c r="C62" s="43">
        <v>58864.0</v>
      </c>
      <c r="D62" s="35">
        <f t="shared" si="65"/>
        <v>0.09349443058</v>
      </c>
      <c r="E62" s="83">
        <v>55644.0</v>
      </c>
      <c r="F62" s="35">
        <f t="shared" si="66"/>
        <v>0.08741648194</v>
      </c>
      <c r="G62" s="83">
        <f t="shared" si="61"/>
        <v>114508</v>
      </c>
      <c r="H62" s="35">
        <f t="shared" si="67"/>
        <v>0.09043879893</v>
      </c>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row>
    <row r="63">
      <c r="A63" s="84"/>
      <c r="B63" s="25" t="s">
        <v>89</v>
      </c>
      <c r="C63" s="90">
        <v>34489.0</v>
      </c>
      <c r="D63" s="35">
        <f t="shared" si="65"/>
        <v>0.05477931191</v>
      </c>
      <c r="E63" s="83">
        <v>32143.0</v>
      </c>
      <c r="F63" s="35">
        <f t="shared" si="66"/>
        <v>0.05049651318</v>
      </c>
      <c r="G63" s="83">
        <f t="shared" si="61"/>
        <v>66632</v>
      </c>
      <c r="H63" s="35">
        <f t="shared" si="67"/>
        <v>0.05262617503</v>
      </c>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row>
    <row r="64">
      <c r="A64" s="84"/>
      <c r="B64" s="25" t="s">
        <v>90</v>
      </c>
      <c r="C64" s="43">
        <v>106321.0</v>
      </c>
      <c r="D64" s="35">
        <f t="shared" si="65"/>
        <v>0.1688709798</v>
      </c>
      <c r="E64" s="83">
        <v>96607.0</v>
      </c>
      <c r="F64" s="35">
        <f t="shared" si="66"/>
        <v>0.1517691768</v>
      </c>
      <c r="G64" s="83">
        <f t="shared" si="61"/>
        <v>202928</v>
      </c>
      <c r="H64" s="35">
        <f t="shared" si="67"/>
        <v>0.1602732088</v>
      </c>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row>
    <row r="65">
      <c r="A65" s="84"/>
      <c r="B65" s="25" t="s">
        <v>91</v>
      </c>
      <c r="C65" s="43">
        <v>124518.0</v>
      </c>
      <c r="D65" s="35">
        <f t="shared" si="65"/>
        <v>0.1977735035</v>
      </c>
      <c r="E65" s="83">
        <v>120381.0</v>
      </c>
      <c r="F65" s="35">
        <f t="shared" si="66"/>
        <v>0.1891180273</v>
      </c>
      <c r="G65" s="83">
        <f t="shared" si="61"/>
        <v>244899</v>
      </c>
      <c r="H65" s="35">
        <f t="shared" si="67"/>
        <v>0.193422044</v>
      </c>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row>
    <row r="66">
      <c r="A66" s="84"/>
      <c r="B66" s="25" t="s">
        <v>92</v>
      </c>
      <c r="C66" s="43">
        <v>151316.0</v>
      </c>
      <c r="D66" s="35">
        <f t="shared" si="65"/>
        <v>0.2403371035</v>
      </c>
      <c r="E66" s="83">
        <v>147944.0</v>
      </c>
      <c r="F66" s="35">
        <f t="shared" si="66"/>
        <v>0.2324193804</v>
      </c>
      <c r="G66" s="83">
        <f t="shared" si="61"/>
        <v>299260</v>
      </c>
      <c r="H66" s="35">
        <f t="shared" si="67"/>
        <v>0.2363565425</v>
      </c>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row>
    <row r="67">
      <c r="A67" s="84"/>
      <c r="B67" s="25" t="s">
        <v>67</v>
      </c>
      <c r="C67" s="43">
        <v>67958.0</v>
      </c>
      <c r="D67" s="35">
        <f t="shared" si="65"/>
        <v>0.107938545</v>
      </c>
      <c r="E67" s="83">
        <v>72925.0</v>
      </c>
      <c r="F67" s="35">
        <f t="shared" si="66"/>
        <v>0.1145648578</v>
      </c>
      <c r="G67" s="83">
        <f t="shared" si="61"/>
        <v>140883</v>
      </c>
      <c r="H67" s="35">
        <f t="shared" si="67"/>
        <v>0.1112698616</v>
      </c>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row>
    <row r="68">
      <c r="A68" s="84"/>
      <c r="B68" s="25" t="s">
        <v>93</v>
      </c>
      <c r="C68" s="43">
        <v>47126.0</v>
      </c>
      <c r="D68" s="35">
        <f t="shared" si="65"/>
        <v>0.07485081774</v>
      </c>
      <c r="E68" s="83">
        <v>57899.0</v>
      </c>
      <c r="F68" s="35">
        <f t="shared" si="66"/>
        <v>0.09095907713</v>
      </c>
      <c r="G68" s="83">
        <f t="shared" si="61"/>
        <v>105025</v>
      </c>
      <c r="H68" s="35">
        <f t="shared" si="67"/>
        <v>0.08294909402</v>
      </c>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row>
    <row r="69">
      <c r="A69" s="84"/>
      <c r="B69" s="25" t="s">
        <v>94</v>
      </c>
      <c r="C69" s="43">
        <v>16054.0</v>
      </c>
      <c r="D69" s="35">
        <f t="shared" si="65"/>
        <v>0.02549876985</v>
      </c>
      <c r="E69" s="83">
        <v>31349.0</v>
      </c>
      <c r="F69" s="35">
        <f t="shared" si="66"/>
        <v>0.04924914263</v>
      </c>
      <c r="G69" s="83">
        <f t="shared" si="61"/>
        <v>47403</v>
      </c>
      <c r="H69" s="35">
        <f t="shared" si="67"/>
        <v>0.03743904693</v>
      </c>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row>
    <row r="70">
      <c r="A70" s="54"/>
      <c r="B70" s="25" t="s">
        <v>69</v>
      </c>
      <c r="C70" s="43">
        <f>SUM(C61:C69)</f>
        <v>629599</v>
      </c>
      <c r="D70" s="35">
        <f t="shared" si="65"/>
        <v>1</v>
      </c>
      <c r="E70" s="83">
        <f>SUM(E61:E69)</f>
        <v>636539</v>
      </c>
      <c r="F70" s="35">
        <f t="shared" si="66"/>
        <v>1</v>
      </c>
      <c r="G70" s="83">
        <f t="shared" si="61"/>
        <v>1266138</v>
      </c>
      <c r="H70" s="35">
        <f t="shared" si="67"/>
        <v>1</v>
      </c>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row>
    <row r="71">
      <c r="A71" s="24" t="s">
        <v>45</v>
      </c>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row>
    <row r="72">
      <c r="A72" s="24" t="s">
        <v>95</v>
      </c>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row>
    <row r="73">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row>
    <row r="74">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row>
    <row r="75">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row>
    <row r="76">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row>
    <row r="77">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row>
    <row r="78">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row>
    <row r="79">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row>
    <row r="80">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row>
    <row r="8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row>
    <row r="82">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row>
    <row r="83">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row>
    <row r="84">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row>
    <row r="85">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row>
    <row r="86">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row>
    <row r="87">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row>
    <row r="88">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row>
    <row r="89">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row>
    <row r="90">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row>
    <row r="9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row>
    <row r="92">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row>
    <row r="93">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row>
    <row r="94">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row>
    <row r="95">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row>
    <row r="96">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row>
    <row r="97">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row>
    <row r="98">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row>
    <row r="99">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row>
    <row r="100">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row>
    <row r="10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row>
    <row r="102">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row>
    <row r="103">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row>
    <row r="104">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row>
    <row r="105">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row>
    <row r="106">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row>
    <row r="107">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row>
    <row r="108">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row>
    <row r="109">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row>
    <row r="110">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row>
    <row r="11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row>
    <row r="112">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c r="AF112" s="24"/>
      <c r="AG112" s="24"/>
      <c r="AH112" s="24"/>
      <c r="AI112" s="24"/>
      <c r="AJ112" s="24"/>
      <c r="AK112" s="24"/>
      <c r="AL112" s="24"/>
    </row>
    <row r="113">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row>
    <row r="114">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row>
    <row r="115">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row>
    <row r="116">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row>
    <row r="117">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row>
    <row r="118">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c r="AF118" s="24"/>
      <c r="AG118" s="24"/>
      <c r="AH118" s="24"/>
      <c r="AI118" s="24"/>
      <c r="AJ118" s="24"/>
      <c r="AK118" s="24"/>
      <c r="AL118" s="24"/>
    </row>
    <row r="119">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row>
    <row r="120">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row>
    <row r="12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row>
    <row r="122">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row>
    <row r="123">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row>
    <row r="124">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row>
    <row r="125">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row>
    <row r="126">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row>
    <row r="127">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row>
    <row r="128">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row>
    <row r="129">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row>
    <row r="130">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row>
    <row r="13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row>
    <row r="132">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row>
    <row r="133">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row>
    <row r="134">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row>
    <row r="135">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row>
    <row r="136">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row>
    <row r="137">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row>
    <row r="138">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row>
    <row r="139">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row>
    <row r="140">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row>
    <row r="14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row>
    <row r="142">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row>
    <row r="143">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row>
    <row r="144">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row>
    <row r="145">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row>
    <row r="146">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row>
    <row r="147">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row>
    <row r="148">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row>
    <row r="149">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row>
    <row r="150">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row>
    <row r="15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row>
    <row r="152">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c r="AF152" s="24"/>
      <c r="AG152" s="24"/>
      <c r="AH152" s="24"/>
      <c r="AI152" s="24"/>
      <c r="AJ152" s="24"/>
      <c r="AK152" s="24"/>
      <c r="AL152" s="24"/>
    </row>
    <row r="153">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row>
    <row r="154">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row>
    <row r="155">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row>
    <row r="156">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row>
    <row r="157">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row>
    <row r="158">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4"/>
    </row>
    <row r="159">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row>
    <row r="160">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row>
    <row r="16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row>
    <row r="162">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c r="AG162" s="24"/>
      <c r="AH162" s="24"/>
      <c r="AI162" s="24"/>
      <c r="AJ162" s="24"/>
      <c r="AK162" s="24"/>
      <c r="AL162" s="24"/>
    </row>
    <row r="163">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row>
    <row r="164">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row>
    <row r="165">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row>
    <row r="166">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c r="AF166" s="24"/>
      <c r="AG166" s="24"/>
      <c r="AH166" s="24"/>
      <c r="AI166" s="24"/>
      <c r="AJ166" s="24"/>
      <c r="AK166" s="24"/>
      <c r="AL166" s="24"/>
    </row>
    <row r="167">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row>
    <row r="168">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row>
    <row r="169">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row>
    <row r="170">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row>
    <row r="17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row>
    <row r="172">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row>
    <row r="173">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row>
    <row r="174">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row>
    <row r="175">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row>
    <row r="176">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row>
    <row r="177">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row>
    <row r="178">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c r="AG178" s="24"/>
      <c r="AH178" s="24"/>
      <c r="AI178" s="24"/>
      <c r="AJ178" s="24"/>
      <c r="AK178" s="24"/>
      <c r="AL178" s="24"/>
    </row>
    <row r="179">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c r="AF179" s="24"/>
      <c r="AG179" s="24"/>
      <c r="AH179" s="24"/>
      <c r="AI179" s="24"/>
      <c r="AJ179" s="24"/>
      <c r="AK179" s="24"/>
      <c r="AL179" s="24"/>
    </row>
    <row r="180">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c r="AG180" s="24"/>
      <c r="AH180" s="24"/>
      <c r="AI180" s="24"/>
      <c r="AJ180" s="24"/>
      <c r="AK180" s="24"/>
      <c r="AL180" s="24"/>
    </row>
    <row r="18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c r="AG181" s="24"/>
      <c r="AH181" s="24"/>
      <c r="AI181" s="24"/>
      <c r="AJ181" s="24"/>
      <c r="AK181" s="24"/>
      <c r="AL181" s="24"/>
    </row>
    <row r="182">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row>
    <row r="183">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row>
    <row r="184">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c r="AG184" s="24"/>
      <c r="AH184" s="24"/>
      <c r="AI184" s="24"/>
      <c r="AJ184" s="24"/>
      <c r="AK184" s="24"/>
      <c r="AL184" s="24"/>
    </row>
    <row r="185">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row>
    <row r="186">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row>
    <row r="187">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row>
    <row r="188">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row>
    <row r="189">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c r="AF189" s="24"/>
      <c r="AG189" s="24"/>
      <c r="AH189" s="24"/>
      <c r="AI189" s="24"/>
      <c r="AJ189" s="24"/>
      <c r="AK189" s="24"/>
      <c r="AL189" s="24"/>
    </row>
    <row r="190">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row>
    <row r="19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row>
    <row r="192">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row>
    <row r="193">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row>
    <row r="194">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4"/>
    </row>
    <row r="195">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row>
    <row r="196">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row>
    <row r="197">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row>
    <row r="198">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row>
    <row r="199">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row>
    <row r="200">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row>
    <row r="20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row>
    <row r="202">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c r="AF202" s="24"/>
      <c r="AG202" s="24"/>
      <c r="AH202" s="24"/>
      <c r="AI202" s="24"/>
      <c r="AJ202" s="24"/>
      <c r="AK202" s="24"/>
      <c r="AL202" s="24"/>
    </row>
    <row r="203">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row>
    <row r="204">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row>
    <row r="205">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row>
    <row r="206">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row>
    <row r="207">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row>
    <row r="208">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c r="AK208" s="24"/>
      <c r="AL208" s="24"/>
    </row>
    <row r="209">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c r="AK209" s="24"/>
      <c r="AL209" s="24"/>
    </row>
    <row r="210">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c r="AK210" s="24"/>
      <c r="AL210" s="24"/>
    </row>
    <row r="21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c r="AK211" s="24"/>
      <c r="AL211" s="24"/>
    </row>
    <row r="212">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c r="AK212" s="24"/>
      <c r="AL212" s="24"/>
    </row>
    <row r="213">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c r="AK213" s="24"/>
      <c r="AL213" s="24"/>
    </row>
    <row r="214">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c r="AK214" s="24"/>
      <c r="AL214" s="24"/>
    </row>
    <row r="215">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c r="AK215" s="24"/>
      <c r="AL215" s="24"/>
    </row>
    <row r="216">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c r="AK216" s="24"/>
      <c r="AL216" s="24"/>
    </row>
    <row r="217">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c r="AK217" s="24"/>
      <c r="AL217" s="24"/>
    </row>
    <row r="218">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c r="AK218" s="24"/>
      <c r="AL218" s="24"/>
    </row>
    <row r="219">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c r="AK219" s="24"/>
      <c r="AL219" s="24"/>
    </row>
    <row r="220">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row>
    <row r="22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c r="AK221" s="24"/>
      <c r="AL221" s="24"/>
    </row>
    <row r="222">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c r="AK222" s="24"/>
      <c r="AL222" s="24"/>
    </row>
    <row r="223">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c r="AK223" s="24"/>
      <c r="AL223" s="24"/>
    </row>
    <row r="224">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c r="AK224" s="24"/>
      <c r="AL224" s="24"/>
    </row>
    <row r="225">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row>
    <row r="226">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row>
    <row r="227">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row>
    <row r="228">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4"/>
    </row>
    <row r="229">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4"/>
    </row>
    <row r="230">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c r="AK230" s="24"/>
      <c r="AL230" s="24"/>
    </row>
    <row r="23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c r="AK231" s="24"/>
      <c r="AL231" s="24"/>
    </row>
    <row r="232">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c r="AK232" s="24"/>
      <c r="AL232" s="24"/>
    </row>
    <row r="233">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c r="AK233" s="24"/>
      <c r="AL233" s="24"/>
    </row>
    <row r="234">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c r="AK234" s="24"/>
      <c r="AL234" s="24"/>
    </row>
    <row r="235">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c r="AK235" s="24"/>
      <c r="AL235" s="24"/>
    </row>
    <row r="236">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c r="AK236" s="24"/>
      <c r="AL236" s="24"/>
    </row>
    <row r="237">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c r="AK237" s="24"/>
      <c r="AL237" s="24"/>
    </row>
    <row r="238">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row>
    <row r="239">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row>
    <row r="240">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c r="AK240" s="24"/>
      <c r="AL240" s="24"/>
    </row>
    <row r="24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c r="AK241" s="24"/>
      <c r="AL241" s="24"/>
    </row>
    <row r="242">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row>
    <row r="243">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c r="AK243" s="24"/>
      <c r="AL243" s="24"/>
    </row>
    <row r="244">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c r="AK244" s="24"/>
      <c r="AL244" s="24"/>
    </row>
    <row r="245">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c r="AK245" s="24"/>
      <c r="AL245" s="24"/>
    </row>
    <row r="246">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c r="AK246" s="24"/>
      <c r="AL246" s="24"/>
    </row>
    <row r="247">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c r="AK247" s="24"/>
      <c r="AL247" s="24"/>
    </row>
    <row r="248">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c r="AK248" s="24"/>
      <c r="AL248" s="24"/>
    </row>
    <row r="249">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c r="AK249" s="24"/>
      <c r="AL249" s="24"/>
    </row>
    <row r="250">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c r="AK250" s="24"/>
      <c r="AL250" s="24"/>
    </row>
    <row r="25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c r="AK251" s="24"/>
      <c r="AL251" s="24"/>
    </row>
    <row r="252">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c r="AK252" s="24"/>
      <c r="AL252" s="24"/>
    </row>
    <row r="253">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c r="AK253" s="24"/>
      <c r="AL253" s="24"/>
    </row>
    <row r="254">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c r="AK254" s="24"/>
      <c r="AL254" s="24"/>
    </row>
    <row r="255">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row>
    <row r="256">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c r="AK256" s="24"/>
      <c r="AL256" s="24"/>
    </row>
    <row r="257">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c r="AK257" s="24"/>
      <c r="AL257" s="24"/>
    </row>
    <row r="258">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c r="AK258" s="24"/>
      <c r="AL258" s="24"/>
    </row>
    <row r="259">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c r="AK259" s="24"/>
      <c r="AL259" s="24"/>
    </row>
    <row r="260">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row>
    <row r="26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row>
    <row r="262">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row>
    <row r="263">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4"/>
    </row>
    <row r="264">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4"/>
    </row>
    <row r="265">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c r="AK265" s="24"/>
      <c r="AL265" s="24"/>
    </row>
    <row r="266">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c r="AK266" s="24"/>
      <c r="AL266" s="24"/>
    </row>
    <row r="267">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c r="AK267" s="24"/>
      <c r="AL267" s="24"/>
    </row>
    <row r="268">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c r="AK268" s="24"/>
      <c r="AL268" s="24"/>
    </row>
    <row r="269">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c r="AK269" s="24"/>
      <c r="AL269" s="24"/>
    </row>
    <row r="270">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c r="AK270" s="24"/>
      <c r="AL270" s="24"/>
    </row>
    <row r="27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c r="AK271" s="24"/>
      <c r="AL271" s="24"/>
    </row>
    <row r="272">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c r="AK272" s="24"/>
      <c r="AL272" s="24"/>
    </row>
    <row r="273">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row>
    <row r="274">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row>
    <row r="275">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c r="AK275" s="24"/>
      <c r="AL275" s="24"/>
    </row>
    <row r="276">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c r="AK276" s="24"/>
      <c r="AL276" s="24"/>
    </row>
    <row r="277">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row>
    <row r="278">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c r="AK278" s="24"/>
      <c r="AL278" s="24"/>
    </row>
    <row r="279">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c r="AK279" s="24"/>
      <c r="AL279" s="24"/>
    </row>
    <row r="280">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c r="AK280" s="24"/>
      <c r="AL280" s="24"/>
    </row>
    <row r="28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c r="AK281" s="24"/>
      <c r="AL281" s="24"/>
    </row>
    <row r="282">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c r="AK282" s="24"/>
      <c r="AL282" s="24"/>
    </row>
    <row r="283">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c r="AK283" s="24"/>
      <c r="AL283" s="24"/>
    </row>
    <row r="284">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c r="AK284" s="24"/>
      <c r="AL284" s="24"/>
    </row>
    <row r="285">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row>
    <row r="286">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24"/>
      <c r="AL286" s="24"/>
    </row>
    <row r="287">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c r="AK287" s="24"/>
      <c r="AL287" s="24"/>
    </row>
    <row r="288">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c r="AK288" s="24"/>
      <c r="AL288" s="24"/>
    </row>
    <row r="289">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c r="AK289" s="24"/>
      <c r="AL289" s="24"/>
    </row>
    <row r="290">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row>
    <row r="29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c r="AK291" s="24"/>
      <c r="AL291" s="24"/>
    </row>
    <row r="292">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c r="AK292" s="24"/>
      <c r="AL292" s="24"/>
    </row>
    <row r="293">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c r="AK293" s="24"/>
      <c r="AL293" s="24"/>
    </row>
    <row r="294">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c r="AK294" s="24"/>
      <c r="AL294" s="24"/>
    </row>
    <row r="295">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row>
    <row r="296">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row>
    <row r="297">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row>
    <row r="298">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4"/>
    </row>
    <row r="299">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4"/>
    </row>
    <row r="300">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row>
    <row r="30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row>
    <row r="302">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c r="AK302" s="24"/>
      <c r="AL302" s="24"/>
    </row>
    <row r="303">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row>
    <row r="304">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c r="AK304" s="24"/>
      <c r="AL304" s="24"/>
    </row>
    <row r="305">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c r="AK305" s="24"/>
      <c r="AL305" s="24"/>
    </row>
    <row r="306">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c r="AK306" s="24"/>
      <c r="AL306" s="24"/>
    </row>
    <row r="307">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c r="AK307" s="24"/>
      <c r="AL307" s="24"/>
    </row>
    <row r="308">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row>
    <row r="309">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row>
    <row r="310">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c r="AK310" s="24"/>
      <c r="AL310" s="24"/>
    </row>
    <row r="31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c r="AK311" s="24"/>
      <c r="AL311" s="24"/>
    </row>
    <row r="312">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row>
    <row r="313">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row>
    <row r="314">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row>
    <row r="315">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row>
    <row r="316">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row>
    <row r="317">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row>
    <row r="318">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row>
    <row r="319">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row>
    <row r="320">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row>
    <row r="32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row>
    <row r="322">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row>
    <row r="323">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row>
    <row r="324">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row>
    <row r="325">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row>
    <row r="326">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row>
    <row r="327">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row>
    <row r="328">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row>
    <row r="329">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row>
    <row r="330">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row>
    <row r="33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row>
    <row r="332">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row>
    <row r="333">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row>
    <row r="334">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row>
    <row r="335">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row>
    <row r="336">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row>
    <row r="337">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row>
    <row r="338">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row>
    <row r="339">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row>
    <row r="340">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row>
    <row r="34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row>
    <row r="342">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row>
    <row r="343">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row>
    <row r="344">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row>
    <row r="345">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row>
    <row r="346">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row>
    <row r="347">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row>
    <row r="348">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row>
    <row r="349">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row>
    <row r="350">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row>
    <row r="35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row>
    <row r="352">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row>
    <row r="353">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row>
    <row r="354">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row>
    <row r="355">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row>
    <row r="356">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row>
    <row r="357">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row>
    <row r="358">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row>
    <row r="359">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row>
    <row r="360">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row>
    <row r="36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row>
    <row r="36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row>
    <row r="363">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row>
    <row r="364">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row>
    <row r="365">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row>
    <row r="366">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row>
    <row r="367">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row>
    <row r="368">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row>
    <row r="369">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row>
    <row r="370">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row>
    <row r="37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row>
    <row r="372">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row>
    <row r="373">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row>
    <row r="374">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row>
    <row r="375">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row>
    <row r="376">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row>
    <row r="377">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row>
    <row r="378">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row>
    <row r="379">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row>
    <row r="380">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row>
    <row r="38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row>
    <row r="382">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row>
    <row r="383">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row>
    <row r="384">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row>
    <row r="385">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row>
    <row r="386">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row>
    <row r="387">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row>
    <row r="388">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row>
    <row r="389">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row>
    <row r="390">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row>
    <row r="39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row>
    <row r="392">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row>
    <row r="393">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row>
    <row r="394">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row>
    <row r="395">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row>
    <row r="396">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row>
    <row r="397">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row>
    <row r="398">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row>
    <row r="399">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row>
    <row r="400">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row>
    <row r="40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row>
    <row r="402">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row>
    <row r="403">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row>
    <row r="404">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row>
    <row r="405">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row>
    <row r="406">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row>
    <row r="407">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row>
    <row r="408">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row>
    <row r="409">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row>
    <row r="410">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row>
    <row r="41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row>
    <row r="412">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row>
    <row r="413">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row>
    <row r="414">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row>
    <row r="415">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row>
    <row r="416">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row>
    <row r="417">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row>
    <row r="418">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row>
    <row r="419">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row>
    <row r="420">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row>
    <row r="42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row>
    <row r="422">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row>
    <row r="423">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row>
    <row r="424">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row>
    <row r="425">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row>
    <row r="426">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row>
    <row r="427">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row>
    <row r="428">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row>
    <row r="429">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row>
    <row r="430">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row>
    <row r="43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row>
    <row r="432">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row>
    <row r="433">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row>
    <row r="434">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row>
    <row r="435">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row>
    <row r="436">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row>
    <row r="437">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row>
    <row r="438">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row>
    <row r="439">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row>
    <row r="440">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row>
    <row r="44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row>
    <row r="442">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row>
    <row r="443">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row>
    <row r="444">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row>
    <row r="445">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row>
    <row r="446">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row>
    <row r="447">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row>
    <row r="448">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row>
    <row r="449">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row>
    <row r="450">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row>
    <row r="45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row>
    <row r="452">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row>
    <row r="453">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row>
    <row r="454">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row>
    <row r="455">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row>
    <row r="456">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row>
    <row r="457">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row>
    <row r="458">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row>
    <row r="459">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row>
    <row r="460">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row>
    <row r="46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row>
    <row r="462">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row>
    <row r="463">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row>
    <row r="464">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row>
    <row r="465">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row>
    <row r="466">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row>
    <row r="467">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row>
    <row r="468">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row>
    <row r="469">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row>
    <row r="470">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row>
    <row r="47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row>
    <row r="472">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row>
    <row r="473">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row>
    <row r="474">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row>
    <row r="475">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row>
    <row r="476">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row>
    <row r="477">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row>
    <row r="478">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row>
    <row r="479">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row>
    <row r="480">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row>
    <row r="48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row>
    <row r="482">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row>
    <row r="483">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row>
    <row r="484">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row>
    <row r="485">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row>
    <row r="486">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row>
    <row r="487">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row>
    <row r="488">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row>
    <row r="489">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row>
    <row r="490">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row>
    <row r="49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row>
    <row r="492">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row>
    <row r="493">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row>
    <row r="494">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row>
    <row r="495">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row>
    <row r="496">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row>
    <row r="497">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row>
    <row r="498">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row>
    <row r="499">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row>
    <row r="500">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row>
    <row r="50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row>
    <row r="502">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row>
    <row r="503">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row>
    <row r="504">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row>
    <row r="505">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row>
    <row r="506">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row>
    <row r="507">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row>
    <row r="508">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row>
    <row r="509">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row>
    <row r="510">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row>
    <row r="51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row>
    <row r="512">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row>
    <row r="513">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row>
    <row r="514">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row>
    <row r="515">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row>
    <row r="516">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row>
    <row r="517">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row>
    <row r="518">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row>
    <row r="519">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row>
    <row r="520">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row>
    <row r="52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row>
    <row r="522">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row>
    <row r="523">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row>
    <row r="524">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row>
    <row r="525">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row>
    <row r="526">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row>
    <row r="527">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row>
    <row r="528">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row>
    <row r="529">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row>
    <row r="530">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row>
    <row r="53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row>
    <row r="532">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row>
    <row r="533">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row>
    <row r="534">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row>
    <row r="535">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row>
    <row r="536">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row>
    <row r="537">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row>
    <row r="538">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row>
    <row r="539">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row>
    <row r="540">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row>
    <row r="54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row>
    <row r="542">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row>
    <row r="543">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row>
    <row r="544">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row>
    <row r="545">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row>
    <row r="546">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row>
    <row r="547">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row>
    <row r="548">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row>
    <row r="549">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row>
    <row r="550">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row>
    <row r="55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row>
    <row r="552">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row>
    <row r="553">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row>
    <row r="554">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row>
    <row r="555">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row>
    <row r="556">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row>
    <row r="557">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row>
    <row r="558">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row>
    <row r="559">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row>
    <row r="560">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row>
    <row r="56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row>
    <row r="562">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row>
    <row r="563">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row>
    <row r="564">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row>
    <row r="565">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row>
    <row r="566">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row>
    <row r="567">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row>
    <row r="568">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row>
    <row r="569">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row>
    <row r="570">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row>
    <row r="57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row>
    <row r="572">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row>
    <row r="573">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row>
    <row r="574">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row>
    <row r="575">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row>
    <row r="576">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row>
    <row r="577">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row>
    <row r="578">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row>
    <row r="579">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row>
    <row r="580">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row>
    <row r="58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row>
    <row r="582">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row>
    <row r="583">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row>
    <row r="584">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row>
    <row r="585">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row>
    <row r="586">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row>
    <row r="587">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row>
    <row r="588">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row>
    <row r="589">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row>
    <row r="590">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row>
    <row r="59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row>
    <row r="592">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row>
    <row r="593">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row>
    <row r="594">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row>
    <row r="595">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row>
    <row r="596">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row>
    <row r="597">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row>
    <row r="598">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row>
    <row r="599">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row>
    <row r="600">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row>
    <row r="60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row>
    <row r="602">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row>
    <row r="603">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row>
    <row r="604">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row>
    <row r="605">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row>
    <row r="606">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row>
    <row r="607">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row>
    <row r="608">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row>
    <row r="609">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row>
    <row r="610">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row>
    <row r="61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row>
    <row r="612">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row>
    <row r="613">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row>
    <row r="614">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row>
    <row r="615">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row>
    <row r="616">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row>
    <row r="617">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row>
    <row r="618">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row>
    <row r="619">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row>
    <row r="620">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row>
    <row r="62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row>
    <row r="622">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row>
    <row r="623">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row>
    <row r="624">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row>
    <row r="625">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row>
    <row r="626">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row>
    <row r="627">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row>
    <row r="628">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row>
    <row r="629">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row>
    <row r="630">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row>
    <row r="63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row>
    <row r="632">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row>
    <row r="633">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row>
    <row r="634">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row>
    <row r="635">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row>
    <row r="636">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row>
    <row r="637">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row>
    <row r="638">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row>
    <row r="639">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row>
    <row r="640">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row>
    <row r="64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row>
    <row r="642">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row>
    <row r="643">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row>
    <row r="644">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row>
    <row r="645">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row>
    <row r="646">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row>
    <row r="647">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row>
    <row r="648">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row>
    <row r="649">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row>
    <row r="650">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row>
    <row r="65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row>
    <row r="652">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row>
    <row r="653">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row>
    <row r="654">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row>
    <row r="655">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row>
    <row r="656">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row>
    <row r="657">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row>
    <row r="658">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row>
    <row r="659">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row>
    <row r="660">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row>
    <row r="66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row>
    <row r="662">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row>
    <row r="663">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row>
    <row r="664">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row>
    <row r="665">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row>
    <row r="666">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row>
    <row r="667">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row>
    <row r="668">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row>
    <row r="669">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row>
    <row r="670">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row>
    <row r="67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row>
    <row r="672">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row>
    <row r="673">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row>
    <row r="674">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row>
    <row r="675">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row>
    <row r="676">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row>
    <row r="677">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row>
    <row r="678">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row>
    <row r="679">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row>
    <row r="680">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row>
    <row r="68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row>
    <row r="682">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row>
    <row r="683">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row>
    <row r="684">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row>
    <row r="685">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row>
    <row r="686">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row>
    <row r="687">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row>
    <row r="688">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row>
    <row r="689">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row>
    <row r="690">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row>
    <row r="69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row>
    <row r="692">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row>
    <row r="693">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row>
    <row r="694">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row>
    <row r="695">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row>
    <row r="696">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row>
    <row r="697">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row>
    <row r="698">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row>
    <row r="699">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row>
    <row r="700">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row>
    <row r="70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row>
    <row r="702">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row>
    <row r="703">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row>
    <row r="704">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row>
    <row r="705">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row>
    <row r="706">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row>
    <row r="707">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row>
    <row r="708">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row>
    <row r="709">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row>
    <row r="710">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row>
    <row r="71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row>
    <row r="712">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row>
    <row r="713">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row>
    <row r="714">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row>
    <row r="715">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row>
    <row r="716">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row>
    <row r="717">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row>
    <row r="718">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row>
    <row r="719">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row>
    <row r="720">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row>
    <row r="72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row>
    <row r="722">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row>
    <row r="723">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row>
    <row r="724">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row>
    <row r="725">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row>
    <row r="726">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row>
    <row r="727">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row>
    <row r="728">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row>
    <row r="729">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row>
    <row r="730">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row>
    <row r="73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row>
    <row r="732">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row>
    <row r="733">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row>
    <row r="734">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row>
    <row r="735">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row>
    <row r="736">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row>
    <row r="737">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row>
    <row r="738">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row>
    <row r="739">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row>
    <row r="740">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row>
    <row r="74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row>
    <row r="742">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row>
    <row r="743">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row>
    <row r="744">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row>
    <row r="745">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row>
    <row r="746">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row>
    <row r="747">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row>
    <row r="748">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row>
    <row r="749">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row>
    <row r="750">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row>
    <row r="75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row>
    <row r="752">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row>
    <row r="753">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row>
    <row r="754">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row>
    <row r="755">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row>
    <row r="756">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row>
    <row r="757">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row>
    <row r="758">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row>
    <row r="759">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row>
    <row r="760">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row>
    <row r="76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row>
    <row r="762">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row>
    <row r="763">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row>
    <row r="764">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row>
    <row r="765">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row>
    <row r="766">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row>
    <row r="767">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row>
    <row r="768">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row>
    <row r="769">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row>
    <row r="770">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row>
    <row r="77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row>
    <row r="772">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row>
    <row r="773">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row>
    <row r="774">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row>
    <row r="775">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row>
    <row r="776">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row>
    <row r="777">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row>
    <row r="778">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row>
    <row r="779">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row>
    <row r="780">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row>
    <row r="78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row>
    <row r="782">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row>
    <row r="783">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row>
    <row r="784">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row>
    <row r="785">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row>
    <row r="786">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row>
    <row r="787">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row>
    <row r="788">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row>
    <row r="789">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row>
    <row r="790">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row>
    <row r="79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row>
    <row r="792">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row>
    <row r="793">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row>
    <row r="794">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row>
    <row r="795">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row>
    <row r="796">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row>
    <row r="797">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row>
    <row r="798">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row>
    <row r="799">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row>
    <row r="800">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row>
    <row r="80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row>
    <row r="802">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row>
    <row r="803">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row>
    <row r="804">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row>
    <row r="805">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row>
    <row r="806">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row>
    <row r="807">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row>
    <row r="808">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row>
    <row r="809">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row>
    <row r="810">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row>
    <row r="81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row>
    <row r="812">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row>
    <row r="813">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row>
    <row r="814">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row>
    <row r="815">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row>
    <row r="816">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row>
    <row r="817">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row>
    <row r="818">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row>
    <row r="819">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row>
    <row r="820">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row>
    <row r="82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row>
    <row r="822">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row>
    <row r="823">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row>
    <row r="824">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row>
    <row r="825">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row>
    <row r="826">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row>
    <row r="827">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row>
    <row r="828">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row>
    <row r="829">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row>
    <row r="830">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row>
    <row r="83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row>
    <row r="832">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row>
    <row r="833">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row>
    <row r="834">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row>
    <row r="835">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row>
    <row r="836">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row>
    <row r="837">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row>
    <row r="838">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row>
    <row r="839">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row>
    <row r="840">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row>
    <row r="84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row>
    <row r="842">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row>
    <row r="843">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row>
    <row r="844">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row>
    <row r="845">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row>
    <row r="846">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row>
    <row r="847">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row>
    <row r="848">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row>
    <row r="849">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row>
    <row r="850">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row>
    <row r="85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row>
    <row r="852">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row>
    <row r="853">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row>
    <row r="854">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row>
    <row r="855">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row>
    <row r="856">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row>
    <row r="857">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row>
    <row r="858">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row>
    <row r="859">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row>
    <row r="860">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row>
    <row r="86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row>
    <row r="862">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row>
    <row r="863">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row>
    <row r="864">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row>
    <row r="865">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row>
    <row r="866">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row>
    <row r="867">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row>
    <row r="868">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row>
    <row r="869">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row>
    <row r="870">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row>
    <row r="87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row>
    <row r="872">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row>
    <row r="873">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row>
    <row r="874">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row>
    <row r="875">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row>
    <row r="876">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row>
    <row r="877">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row>
    <row r="878">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row>
    <row r="879">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row>
    <row r="880">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row>
    <row r="88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row>
    <row r="882">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row>
    <row r="883">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row>
    <row r="884">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row>
    <row r="885">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row>
    <row r="886">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row>
    <row r="887">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row>
    <row r="888">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row>
    <row r="889">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row>
    <row r="890">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row>
    <row r="89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row>
    <row r="892">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row>
    <row r="893">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row>
    <row r="894">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row>
    <row r="895">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row>
    <row r="896">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row>
    <row r="897">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row>
    <row r="898">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row>
    <row r="899">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row>
    <row r="900">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row>
    <row r="90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row>
    <row r="902">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row>
    <row r="903">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row>
    <row r="904">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row>
    <row r="905">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row>
    <row r="906">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row>
    <row r="907">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row>
    <row r="908">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row>
    <row r="909">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row>
    <row r="910">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row>
    <row r="91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row>
    <row r="912">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row>
    <row r="913">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row>
    <row r="914">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row>
    <row r="915">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row>
    <row r="916">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row>
    <row r="917">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row>
    <row r="918">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row>
    <row r="919">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row>
    <row r="920">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row>
    <row r="92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row>
    <row r="922">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row>
    <row r="923">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row>
    <row r="924">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row>
    <row r="925">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row>
    <row r="926">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row>
    <row r="927">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row>
    <row r="928">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row>
    <row r="929">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row>
    <row r="930">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row>
    <row r="93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row>
    <row r="932">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row>
    <row r="933">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row>
    <row r="934">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row>
    <row r="935">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row>
    <row r="936">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row>
    <row r="937">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row>
    <row r="938">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row>
    <row r="939">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row>
    <row r="940">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row>
    <row r="94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row>
    <row r="942">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row>
    <row r="943">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row>
    <row r="944">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row>
    <row r="945">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row>
    <row r="946">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row>
    <row r="947">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row>
    <row r="948">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row>
    <row r="949">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row>
    <row r="950">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row>
    <row r="95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row>
    <row r="952">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row>
    <row r="953">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row>
    <row r="954">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row>
    <row r="955">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row>
    <row r="956">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row>
    <row r="957">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row>
    <row r="958">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row>
    <row r="959">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row>
    <row r="960">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row>
    <row r="96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row>
    <row r="962">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row>
    <row r="963">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row>
    <row r="964">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row>
    <row r="965">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row>
    <row r="966">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row>
    <row r="967">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row>
    <row r="968">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row>
    <row r="969">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row>
    <row r="970">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row>
    <row r="97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row>
    <row r="972">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row>
    <row r="973">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row>
    <row r="974">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row>
    <row r="975">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row>
    <row r="976">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row>
    <row r="977">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row>
    <row r="978">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row>
    <row r="979">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row>
    <row r="980">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row>
    <row r="98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row>
    <row r="982">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row>
    <row r="983">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row>
    <row r="984">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row>
    <row r="985">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row>
    <row r="986">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row>
    <row r="987">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row>
    <row r="988">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row>
    <row r="989">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row>
    <row r="990">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row>
    <row r="99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row>
    <row r="992">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row>
    <row r="993">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row>
    <row r="994">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row>
    <row r="995">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row>
    <row r="996">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row>
    <row r="997">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row>
    <row r="998">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row>
    <row r="999">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row>
    <row r="1000">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row>
  </sheetData>
  <mergeCells count="34">
    <mergeCell ref="AG4:AH4"/>
    <mergeCell ref="AI4:AJ4"/>
    <mergeCell ref="C3:H3"/>
    <mergeCell ref="I3:N3"/>
    <mergeCell ref="O3:T3"/>
    <mergeCell ref="U3:Z3"/>
    <mergeCell ref="AA3:AF3"/>
    <mergeCell ref="AG3:AL3"/>
    <mergeCell ref="C4:D4"/>
    <mergeCell ref="AK4:AL4"/>
    <mergeCell ref="E39:F39"/>
    <mergeCell ref="G39:H39"/>
    <mergeCell ref="E4:F4"/>
    <mergeCell ref="G4:H4"/>
    <mergeCell ref="A6:A15"/>
    <mergeCell ref="A16:A25"/>
    <mergeCell ref="A26:A35"/>
    <mergeCell ref="C38:H38"/>
    <mergeCell ref="C39:D39"/>
    <mergeCell ref="A61:A70"/>
    <mergeCell ref="I4:J4"/>
    <mergeCell ref="K4:L4"/>
    <mergeCell ref="M4:N4"/>
    <mergeCell ref="O4:P4"/>
    <mergeCell ref="Q4:R4"/>
    <mergeCell ref="S4:T4"/>
    <mergeCell ref="U4:V4"/>
    <mergeCell ref="W4:X4"/>
    <mergeCell ref="Y4:Z4"/>
    <mergeCell ref="AA4:AB4"/>
    <mergeCell ref="AC4:AD4"/>
    <mergeCell ref="AE4:AF4"/>
    <mergeCell ref="A41:A50"/>
    <mergeCell ref="A51:A60"/>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workbookViewId="0"/>
  </sheetViews>
  <sheetFormatPr customHeight="1" defaultColWidth="12.63" defaultRowHeight="15.0"/>
  <cols>
    <col customWidth="1" min="1" max="31" width="11.13"/>
  </cols>
  <sheetData>
    <row r="1" ht="15.75" customHeight="1">
      <c r="A1" s="24" t="s">
        <v>96</v>
      </c>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row>
    <row r="2" ht="15.75" customHeight="1">
      <c r="A2" s="24"/>
      <c r="B2" s="91">
        <v>2019.0</v>
      </c>
      <c r="C2" s="6"/>
      <c r="D2" s="7"/>
      <c r="E2" s="31">
        <v>2020.0</v>
      </c>
      <c r="F2" s="6"/>
      <c r="G2" s="7"/>
      <c r="H2" s="31">
        <v>2021.0</v>
      </c>
      <c r="I2" s="6"/>
      <c r="J2" s="7"/>
      <c r="K2" s="31">
        <v>2022.0</v>
      </c>
      <c r="L2" s="6"/>
      <c r="M2" s="7"/>
      <c r="N2" s="31">
        <v>2023.0</v>
      </c>
      <c r="O2" s="6"/>
      <c r="P2" s="7"/>
      <c r="Q2" s="31">
        <v>2024.0</v>
      </c>
      <c r="R2" s="6"/>
      <c r="S2" s="7"/>
      <c r="T2" s="31">
        <v>2025.0</v>
      </c>
      <c r="U2" s="6"/>
      <c r="V2" s="7"/>
      <c r="W2" s="24"/>
      <c r="X2" s="24"/>
      <c r="Y2" s="24"/>
      <c r="Z2" s="24"/>
      <c r="AA2" s="24"/>
      <c r="AB2" s="24"/>
      <c r="AC2" s="24"/>
      <c r="AD2" s="24"/>
      <c r="AE2" s="24"/>
    </row>
    <row r="3" ht="83.25" customHeight="1">
      <c r="A3" s="24"/>
      <c r="B3" s="32" t="s">
        <v>47</v>
      </c>
      <c r="C3" s="32" t="s">
        <v>97</v>
      </c>
      <c r="D3" s="32" t="s">
        <v>98</v>
      </c>
      <c r="E3" s="32" t="s">
        <v>47</v>
      </c>
      <c r="F3" s="32" t="s">
        <v>97</v>
      </c>
      <c r="G3" s="32" t="s">
        <v>98</v>
      </c>
      <c r="H3" s="32" t="s">
        <v>47</v>
      </c>
      <c r="I3" s="32" t="s">
        <v>97</v>
      </c>
      <c r="J3" s="32" t="s">
        <v>98</v>
      </c>
      <c r="K3" s="32" t="s">
        <v>47</v>
      </c>
      <c r="L3" s="32" t="s">
        <v>97</v>
      </c>
      <c r="M3" s="32" t="s">
        <v>98</v>
      </c>
      <c r="N3" s="32" t="s">
        <v>47</v>
      </c>
      <c r="O3" s="32" t="s">
        <v>97</v>
      </c>
      <c r="P3" s="32" t="s">
        <v>98</v>
      </c>
      <c r="Q3" s="32" t="s">
        <v>47</v>
      </c>
      <c r="R3" s="32" t="s">
        <v>97</v>
      </c>
      <c r="S3" s="32" t="s">
        <v>98</v>
      </c>
      <c r="T3" s="32" t="s">
        <v>47</v>
      </c>
      <c r="U3" s="32" t="s">
        <v>97</v>
      </c>
      <c r="V3" s="32" t="s">
        <v>98</v>
      </c>
      <c r="W3" s="24"/>
      <c r="X3" s="24"/>
      <c r="Y3" s="24"/>
      <c r="Z3" s="24"/>
      <c r="AA3" s="24"/>
      <c r="AB3" s="24"/>
      <c r="AC3" s="24"/>
      <c r="AD3" s="24"/>
      <c r="AE3" s="24"/>
    </row>
    <row r="4" ht="15.75" customHeight="1">
      <c r="A4" s="26" t="s">
        <v>42</v>
      </c>
      <c r="B4" s="92">
        <v>4996158.0</v>
      </c>
      <c r="C4" s="93">
        <v>1.0</v>
      </c>
      <c r="D4" s="93">
        <f>B4/59816673</f>
        <v>0.08352450495</v>
      </c>
      <c r="E4" s="27">
        <v>5039637.0</v>
      </c>
      <c r="F4" s="33">
        <v>1.0</v>
      </c>
      <c r="G4" s="33">
        <f>E4/59641488</f>
        <v>0.08449884751</v>
      </c>
      <c r="H4" s="27">
        <v>5171894.0</v>
      </c>
      <c r="I4" s="33">
        <v>1.0</v>
      </c>
      <c r="J4" s="33">
        <f>H4/59236213</f>
        <v>0.08730966647</v>
      </c>
      <c r="K4" s="27">
        <v>5193669.0</v>
      </c>
      <c r="L4" s="33">
        <v>1.0</v>
      </c>
      <c r="M4" s="33">
        <f>K4/58983122</f>
        <v>0.0880534774</v>
      </c>
      <c r="N4" s="27">
        <v>5141341.0</v>
      </c>
      <c r="O4" s="33">
        <v>1.0</v>
      </c>
      <c r="P4" s="33">
        <f>N4/58983122</f>
        <v>0.08716630836</v>
      </c>
      <c r="Q4" s="27">
        <v>5307598.0</v>
      </c>
      <c r="R4" s="33">
        <v>1.0</v>
      </c>
      <c r="S4" s="33">
        <f>Q4/'Indicatore 1_popolazione reside'!L11</f>
        <v>0.0899749209</v>
      </c>
      <c r="T4" s="27">
        <v>5422426.0</v>
      </c>
      <c r="U4" s="33">
        <v>1.0</v>
      </c>
      <c r="V4" s="33">
        <f>T4/'Indicatore 1_popolazione reside'!N11</f>
        <v>0.0920081738</v>
      </c>
      <c r="W4" s="24"/>
      <c r="X4" s="24"/>
      <c r="Y4" s="24"/>
      <c r="Z4" s="24"/>
      <c r="AA4" s="24"/>
      <c r="AB4" s="24"/>
      <c r="AC4" s="24"/>
      <c r="AD4" s="24"/>
      <c r="AE4" s="24"/>
    </row>
    <row r="5" ht="15.75" customHeight="1">
      <c r="A5" s="26" t="s">
        <v>43</v>
      </c>
      <c r="B5" s="92">
        <v>1130587.0</v>
      </c>
      <c r="C5" s="93">
        <f>B5/B4</f>
        <v>0.2262912822</v>
      </c>
      <c r="D5" s="93">
        <f>B5/10010833</f>
        <v>0.112936356</v>
      </c>
      <c r="E5" s="27">
        <v>1149065.0</v>
      </c>
      <c r="F5" s="35">
        <f>E5/E4</f>
        <v>0.2280055091</v>
      </c>
      <c r="G5" s="35">
        <f>E5/10027602</f>
        <v>0.1145902081</v>
      </c>
      <c r="H5" s="27">
        <v>1190889.0</v>
      </c>
      <c r="I5" s="35">
        <f>H5/H4</f>
        <v>0.2302616798</v>
      </c>
      <c r="J5" s="35">
        <f>H5/9981554</f>
        <v>0.1193089773</v>
      </c>
      <c r="K5" s="27">
        <v>1155393.0</v>
      </c>
      <c r="L5" s="35">
        <f>K5/K4</f>
        <v>0.2224618088</v>
      </c>
      <c r="M5" s="35">
        <f>K5/9943004</f>
        <v>0.1162016027</v>
      </c>
      <c r="N5" s="27">
        <v>1176169.0</v>
      </c>
      <c r="O5" s="35">
        <f>N5/N4</f>
        <v>0.2287669696</v>
      </c>
      <c r="P5" s="35">
        <f>N5/9976509</f>
        <v>0.1178938444</v>
      </c>
      <c r="Q5" s="27">
        <v>1203138.0</v>
      </c>
      <c r="R5" s="35">
        <f>Q5/Q4</f>
        <v>0.2266822016</v>
      </c>
      <c r="S5" s="33">
        <f>Q5/'Indicatore 1_popolazione reside'!L12</f>
        <v>0.1201689483</v>
      </c>
      <c r="T5" s="27">
        <v>1230362.0</v>
      </c>
      <c r="U5" s="35">
        <f>T5/T4</f>
        <v>0.2269024971</v>
      </c>
      <c r="V5" s="33">
        <f>T5/'Indicatore 1_popolazione reside'!N12</f>
        <v>0.1226011987</v>
      </c>
      <c r="W5" s="24"/>
      <c r="X5" s="24"/>
      <c r="Y5" s="24"/>
      <c r="Z5" s="24"/>
      <c r="AA5" s="24"/>
      <c r="AB5" s="24"/>
      <c r="AC5" s="24"/>
      <c r="AD5" s="24"/>
      <c r="AE5" s="24"/>
    </row>
    <row r="6" ht="15.75" customHeight="1">
      <c r="A6" s="26" t="s">
        <v>44</v>
      </c>
      <c r="B6" s="92">
        <v>151528.0</v>
      </c>
      <c r="C6" s="93">
        <f>B6/B4</f>
        <v>0.03032890473</v>
      </c>
      <c r="D6" s="93">
        <f>B6/1254419</f>
        <v>0.1207953642</v>
      </c>
      <c r="E6" s="27">
        <v>151820.0</v>
      </c>
      <c r="F6" s="35">
        <f>E6/E4</f>
        <v>0.0301251856</v>
      </c>
      <c r="G6" s="35">
        <f>E6/1255437</f>
        <v>0.1209300029</v>
      </c>
      <c r="H6" s="27">
        <v>155798.0</v>
      </c>
      <c r="I6" s="35">
        <f>H6/H4</f>
        <v>0.03012397393</v>
      </c>
      <c r="J6" s="35">
        <f>H6/1255709</f>
        <v>0.1240717396</v>
      </c>
      <c r="K6" s="27">
        <v>152855.0</v>
      </c>
      <c r="L6" s="35">
        <f>K6/K4</f>
        <v>0.02943102458</v>
      </c>
      <c r="M6" s="35">
        <f>K6/1253157</f>
        <v>0.1219759376</v>
      </c>
      <c r="N6" s="27">
        <v>150383.0</v>
      </c>
      <c r="O6" s="35">
        <f>N6/N4</f>
        <v>0.02924976188</v>
      </c>
      <c r="P6" s="35">
        <f>N6/1257326</f>
        <v>0.1196054166</v>
      </c>
      <c r="Q6" s="94">
        <v>153487.0</v>
      </c>
      <c r="R6" s="35">
        <f>Q6/Q4</f>
        <v>0.0289183544</v>
      </c>
      <c r="S6" s="33">
        <f>Q6/'Indicatore 1_popolazione reside'!L13</f>
        <v>0.1217228212</v>
      </c>
      <c r="T6" s="94">
        <v>155206.0</v>
      </c>
      <c r="U6" s="35">
        <f>T6/T4</f>
        <v>0.02862298167</v>
      </c>
      <c r="V6" s="33">
        <f>T6/'Indicatore 1_popolazione reside'!N13</f>
        <v>0.1225822146</v>
      </c>
      <c r="W6" s="24"/>
      <c r="X6" s="24"/>
      <c r="Y6" s="24"/>
      <c r="Z6" s="24"/>
      <c r="AA6" s="24"/>
      <c r="AB6" s="24"/>
      <c r="AC6" s="24"/>
      <c r="AD6" s="24"/>
      <c r="AE6" s="24"/>
    </row>
    <row r="7" ht="15.75" customHeight="1">
      <c r="A7" s="24" t="s">
        <v>45</v>
      </c>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row>
    <row r="8" ht="15.75" customHeight="1">
      <c r="A8" s="24" t="s">
        <v>95</v>
      </c>
      <c r="B8" s="24"/>
      <c r="C8" s="24"/>
      <c r="D8" s="24"/>
      <c r="E8" s="24"/>
      <c r="F8" s="95"/>
      <c r="G8" s="24"/>
      <c r="H8" s="24"/>
      <c r="I8" s="24"/>
      <c r="J8" s="24"/>
      <c r="K8" s="24"/>
      <c r="L8" s="24"/>
      <c r="M8" s="24"/>
      <c r="N8" s="24"/>
      <c r="O8" s="24"/>
      <c r="P8" s="24"/>
      <c r="Q8" s="24"/>
      <c r="R8" s="24"/>
      <c r="S8" s="24"/>
      <c r="T8" s="24"/>
      <c r="U8" s="24"/>
      <c r="V8" s="24"/>
      <c r="W8" s="24"/>
      <c r="X8" s="24"/>
      <c r="Y8" s="24"/>
      <c r="Z8" s="24"/>
      <c r="AA8" s="24"/>
      <c r="AB8" s="24"/>
      <c r="AC8" s="24"/>
      <c r="AD8" s="24"/>
      <c r="AE8" s="24"/>
    </row>
    <row r="9" ht="15.75" customHeight="1">
      <c r="A9" s="24"/>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row>
    <row r="10" ht="15.75" customHeight="1">
      <c r="A10" s="24" t="s">
        <v>99</v>
      </c>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ht="15.75" customHeight="1">
      <c r="A11" s="24"/>
      <c r="B11" s="31">
        <v>2019.0</v>
      </c>
      <c r="C11" s="6"/>
      <c r="D11" s="6"/>
      <c r="E11" s="6"/>
      <c r="F11" s="7"/>
      <c r="G11" s="31">
        <v>2020.0</v>
      </c>
      <c r="H11" s="6"/>
      <c r="I11" s="6"/>
      <c r="J11" s="6"/>
      <c r="K11" s="7"/>
      <c r="L11" s="31">
        <v>2021.0</v>
      </c>
      <c r="M11" s="6"/>
      <c r="N11" s="6"/>
      <c r="O11" s="6"/>
      <c r="P11" s="7"/>
      <c r="Q11" s="31">
        <v>2022.0</v>
      </c>
      <c r="R11" s="6"/>
      <c r="S11" s="6"/>
      <c r="T11" s="6"/>
      <c r="U11" s="7"/>
      <c r="V11" s="31">
        <v>2023.0</v>
      </c>
      <c r="W11" s="6"/>
      <c r="X11" s="6"/>
      <c r="Y11" s="6"/>
      <c r="Z11" s="7"/>
      <c r="AA11" s="31">
        <v>2024.0</v>
      </c>
      <c r="AB11" s="6"/>
      <c r="AC11" s="6"/>
      <c r="AD11" s="6"/>
      <c r="AE11" s="7"/>
    </row>
    <row r="12" ht="15.75" customHeight="1">
      <c r="A12" s="24"/>
      <c r="B12" s="36" t="s">
        <v>52</v>
      </c>
      <c r="C12" s="10"/>
      <c r="D12" s="37" t="s">
        <v>53</v>
      </c>
      <c r="E12" s="10"/>
      <c r="F12" s="80" t="s">
        <v>69</v>
      </c>
      <c r="G12" s="36" t="s">
        <v>52</v>
      </c>
      <c r="H12" s="10"/>
      <c r="I12" s="37" t="s">
        <v>53</v>
      </c>
      <c r="J12" s="10"/>
      <c r="K12" s="80" t="s">
        <v>69</v>
      </c>
      <c r="L12" s="30" t="s">
        <v>52</v>
      </c>
      <c r="M12" s="7"/>
      <c r="N12" s="30" t="s">
        <v>53</v>
      </c>
      <c r="O12" s="7"/>
      <c r="P12" s="25" t="s">
        <v>69</v>
      </c>
      <c r="Q12" s="30" t="s">
        <v>52</v>
      </c>
      <c r="R12" s="7"/>
      <c r="S12" s="30" t="s">
        <v>53</v>
      </c>
      <c r="T12" s="7"/>
      <c r="U12" s="25" t="s">
        <v>69</v>
      </c>
      <c r="V12" s="25" t="s">
        <v>52</v>
      </c>
      <c r="W12" s="25"/>
      <c r="X12" s="25" t="s">
        <v>53</v>
      </c>
      <c r="Y12" s="25"/>
      <c r="Z12" s="25" t="s">
        <v>69</v>
      </c>
      <c r="AA12" s="25" t="s">
        <v>52</v>
      </c>
      <c r="AB12" s="25"/>
      <c r="AC12" s="25" t="s">
        <v>53</v>
      </c>
      <c r="AD12" s="25"/>
      <c r="AE12" s="25" t="s">
        <v>69</v>
      </c>
    </row>
    <row r="13" ht="15.75" customHeight="1">
      <c r="A13" s="24"/>
      <c r="B13" s="38" t="s">
        <v>47</v>
      </c>
      <c r="C13" s="39" t="s">
        <v>54</v>
      </c>
      <c r="D13" s="39" t="s">
        <v>47</v>
      </c>
      <c r="E13" s="39" t="s">
        <v>54</v>
      </c>
      <c r="F13" s="39" t="s">
        <v>47</v>
      </c>
      <c r="G13" s="38" t="s">
        <v>47</v>
      </c>
      <c r="H13" s="39" t="s">
        <v>54</v>
      </c>
      <c r="I13" s="39" t="s">
        <v>47</v>
      </c>
      <c r="J13" s="39" t="s">
        <v>54</v>
      </c>
      <c r="K13" s="39" t="s">
        <v>47</v>
      </c>
      <c r="L13" s="32" t="s">
        <v>47</v>
      </c>
      <c r="M13" s="32" t="s">
        <v>54</v>
      </c>
      <c r="N13" s="32" t="s">
        <v>47</v>
      </c>
      <c r="O13" s="32" t="s">
        <v>54</v>
      </c>
      <c r="P13" s="32" t="s">
        <v>47</v>
      </c>
      <c r="Q13" s="32" t="s">
        <v>47</v>
      </c>
      <c r="R13" s="32" t="s">
        <v>54</v>
      </c>
      <c r="S13" s="32" t="s">
        <v>47</v>
      </c>
      <c r="T13" s="32" t="s">
        <v>54</v>
      </c>
      <c r="U13" s="32" t="s">
        <v>47</v>
      </c>
      <c r="V13" s="32" t="s">
        <v>47</v>
      </c>
      <c r="W13" s="32" t="s">
        <v>54</v>
      </c>
      <c r="X13" s="32" t="s">
        <v>47</v>
      </c>
      <c r="Y13" s="32" t="s">
        <v>54</v>
      </c>
      <c r="Z13" s="32" t="s">
        <v>47</v>
      </c>
      <c r="AA13" s="32" t="s">
        <v>47</v>
      </c>
      <c r="AB13" s="32" t="s">
        <v>54</v>
      </c>
      <c r="AC13" s="32" t="s">
        <v>47</v>
      </c>
      <c r="AD13" s="32" t="s">
        <v>54</v>
      </c>
      <c r="AE13" s="32" t="s">
        <v>47</v>
      </c>
    </row>
    <row r="14" ht="15.75" customHeight="1">
      <c r="A14" s="26" t="s">
        <v>42</v>
      </c>
      <c r="B14" s="92">
        <v>2414285.0</v>
      </c>
      <c r="C14" s="41">
        <f t="shared" ref="C14:C16" si="1">B14/B4</f>
        <v>0.4832283126</v>
      </c>
      <c r="D14" s="96">
        <v>2581873.0</v>
      </c>
      <c r="E14" s="41">
        <f t="shared" ref="E14:E16" si="2">D14/B4</f>
        <v>0.5167716874</v>
      </c>
      <c r="F14" s="96">
        <v>4996158.0</v>
      </c>
      <c r="G14" s="40">
        <v>2431678.0</v>
      </c>
      <c r="H14" s="41">
        <f t="shared" ref="H14:H16" si="3">G14/E4</f>
        <v>0.4825105459</v>
      </c>
      <c r="I14" s="42">
        <v>2607959.0</v>
      </c>
      <c r="J14" s="41">
        <f t="shared" ref="J14:J16" si="4">I14/E4</f>
        <v>0.5174894541</v>
      </c>
      <c r="K14" s="42">
        <v>5039637.0</v>
      </c>
      <c r="L14" s="27">
        <v>2524644.0</v>
      </c>
      <c r="M14" s="41">
        <f t="shared" ref="M14:M16" si="5">L14/H4</f>
        <v>0.4881468955</v>
      </c>
      <c r="N14" s="27">
        <v>2647250.0</v>
      </c>
      <c r="O14" s="41">
        <f t="shared" ref="O14:O16" si="6">N14/H4</f>
        <v>0.5118531045</v>
      </c>
      <c r="P14" s="27">
        <f>SUM(L14+N14)</f>
        <v>5171894</v>
      </c>
      <c r="Q14" s="27">
        <v>2531043.0</v>
      </c>
      <c r="R14" s="35">
        <f t="shared" ref="R14:R16" si="7">Q14/K4</f>
        <v>0.4873323656</v>
      </c>
      <c r="S14" s="27">
        <v>2662626.0</v>
      </c>
      <c r="T14" s="35">
        <f t="shared" ref="T14:T16" si="8">S14/K4</f>
        <v>0.5126676344</v>
      </c>
      <c r="U14" s="27">
        <f>SUM(Q14+S14)</f>
        <v>5193669</v>
      </c>
      <c r="V14" s="27">
        <v>2517539.0</v>
      </c>
      <c r="W14" s="35">
        <f t="shared" ref="W14:W16" si="9">V14/N4</f>
        <v>0.4896658284</v>
      </c>
      <c r="X14" s="27">
        <v>2623802.0</v>
      </c>
      <c r="Y14" s="35">
        <f>X14/N4</f>
        <v>0.5103341716</v>
      </c>
      <c r="Z14" s="27">
        <f>SUM(V14+X14)</f>
        <v>5141341</v>
      </c>
      <c r="AA14" s="27">
        <v>2627415.0</v>
      </c>
      <c r="AB14" s="35">
        <f t="shared" ref="AB14:AB16" si="10">AA14/AE14</f>
        <v>0.4950290131</v>
      </c>
      <c r="AC14" s="27">
        <v>2680183.0</v>
      </c>
      <c r="AD14" s="35">
        <f t="shared" ref="AD14:AD16" si="11">AC14/AE14</f>
        <v>0.5049709869</v>
      </c>
      <c r="AE14" s="27">
        <v>5307598.0</v>
      </c>
    </row>
    <row r="15" ht="15.75" customHeight="1">
      <c r="A15" s="26" t="s">
        <v>43</v>
      </c>
      <c r="B15" s="92">
        <v>552955.0</v>
      </c>
      <c r="C15" s="41">
        <f t="shared" si="1"/>
        <v>0.4890866426</v>
      </c>
      <c r="D15" s="96">
        <v>577632.0</v>
      </c>
      <c r="E15" s="41">
        <f t="shared" si="2"/>
        <v>0.5109133574</v>
      </c>
      <c r="F15" s="92">
        <v>1130587.0</v>
      </c>
      <c r="G15" s="40">
        <v>561437.0</v>
      </c>
      <c r="H15" s="41">
        <f t="shared" si="3"/>
        <v>0.4886033427</v>
      </c>
      <c r="I15" s="42">
        <v>587628.0</v>
      </c>
      <c r="J15" s="41">
        <f t="shared" si="4"/>
        <v>0.5113966573</v>
      </c>
      <c r="K15" s="27">
        <v>1149065.0</v>
      </c>
      <c r="L15" s="27">
        <v>586701.0</v>
      </c>
      <c r="M15" s="41">
        <f t="shared" si="5"/>
        <v>0.4926580059</v>
      </c>
      <c r="N15" s="27">
        <v>604188.0</v>
      </c>
      <c r="O15" s="41">
        <f t="shared" si="6"/>
        <v>0.5073419941</v>
      </c>
      <c r="P15" s="27">
        <v>1190889.0</v>
      </c>
      <c r="Q15" s="27">
        <v>570234.0</v>
      </c>
      <c r="R15" s="35">
        <f t="shared" si="7"/>
        <v>0.4935411587</v>
      </c>
      <c r="S15" s="27">
        <v>585159.0</v>
      </c>
      <c r="T15" s="35">
        <f t="shared" si="8"/>
        <v>0.5064588413</v>
      </c>
      <c r="U15" s="27">
        <v>1155393.0</v>
      </c>
      <c r="V15" s="27">
        <v>578536.0</v>
      </c>
      <c r="W15" s="35">
        <f t="shared" si="9"/>
        <v>0.4918816939</v>
      </c>
      <c r="X15" s="27">
        <v>597633.0</v>
      </c>
      <c r="Y15" s="35">
        <f t="shared" ref="Y15:Y16" si="12">X15/Z15</f>
        <v>0.5081183061</v>
      </c>
      <c r="Z15" s="27">
        <v>1176169.0</v>
      </c>
      <c r="AA15" s="94">
        <v>596661.0</v>
      </c>
      <c r="AB15" s="35">
        <f t="shared" si="10"/>
        <v>0.4959206675</v>
      </c>
      <c r="AC15" s="94">
        <v>606477.0</v>
      </c>
      <c r="AD15" s="35">
        <f t="shared" si="11"/>
        <v>0.5040793325</v>
      </c>
      <c r="AE15" s="27">
        <v>1203138.0</v>
      </c>
    </row>
    <row r="16" ht="15.75" customHeight="1">
      <c r="A16" s="26" t="s">
        <v>44</v>
      </c>
      <c r="B16" s="92">
        <v>74348.0</v>
      </c>
      <c r="C16" s="41">
        <f t="shared" si="1"/>
        <v>0.4906551924</v>
      </c>
      <c r="D16" s="96">
        <v>77180.0</v>
      </c>
      <c r="E16" s="41">
        <f t="shared" si="2"/>
        <v>0.5093448076</v>
      </c>
      <c r="F16" s="92">
        <v>151528.0</v>
      </c>
      <c r="G16" s="40">
        <v>74276.0</v>
      </c>
      <c r="H16" s="41">
        <f t="shared" si="3"/>
        <v>0.4892372546</v>
      </c>
      <c r="I16" s="42">
        <v>77544.0</v>
      </c>
      <c r="J16" s="41">
        <f t="shared" si="4"/>
        <v>0.5107627454</v>
      </c>
      <c r="K16" s="27">
        <v>151820.0</v>
      </c>
      <c r="L16" s="27">
        <v>77537.0</v>
      </c>
      <c r="M16" s="41">
        <f t="shared" si="5"/>
        <v>0.4976764785</v>
      </c>
      <c r="N16" s="27">
        <v>78171.0</v>
      </c>
      <c r="O16" s="41">
        <f t="shared" si="6"/>
        <v>0.5017458504</v>
      </c>
      <c r="P16" s="27">
        <v>155798.0</v>
      </c>
      <c r="Q16" s="27">
        <v>76258.0</v>
      </c>
      <c r="R16" s="35">
        <f t="shared" si="7"/>
        <v>0.498891106</v>
      </c>
      <c r="S16" s="27">
        <v>76597.0</v>
      </c>
      <c r="T16" s="35">
        <f t="shared" si="8"/>
        <v>0.501108894</v>
      </c>
      <c r="U16" s="27">
        <v>152855.0</v>
      </c>
      <c r="V16" s="27">
        <v>74864.0</v>
      </c>
      <c r="W16" s="35">
        <f t="shared" si="9"/>
        <v>0.4978222272</v>
      </c>
      <c r="X16" s="27">
        <v>75519.0</v>
      </c>
      <c r="Y16" s="35">
        <f t="shared" si="12"/>
        <v>0.5021777728</v>
      </c>
      <c r="Z16" s="27">
        <v>150383.0</v>
      </c>
      <c r="AA16" s="94">
        <v>76804.0</v>
      </c>
      <c r="AB16" s="35">
        <f t="shared" si="10"/>
        <v>0.5003941702</v>
      </c>
      <c r="AC16" s="94">
        <v>76683.0</v>
      </c>
      <c r="AD16" s="35">
        <f t="shared" si="11"/>
        <v>0.4996058298</v>
      </c>
      <c r="AE16" s="94">
        <v>153487.0</v>
      </c>
    </row>
    <row r="17" ht="15.75" customHeight="1">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row>
    <row r="18" ht="15.75" customHeight="1">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row>
    <row r="19" ht="15.75" customHeight="1">
      <c r="A19" s="97"/>
      <c r="B19" s="31">
        <v>2025.0</v>
      </c>
      <c r="C19" s="6"/>
      <c r="D19" s="6"/>
      <c r="E19" s="6"/>
      <c r="F19" s="7"/>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row>
    <row r="20" ht="15.75" customHeight="1">
      <c r="A20" s="97"/>
      <c r="B20" s="25" t="s">
        <v>52</v>
      </c>
      <c r="C20" s="25"/>
      <c r="D20" s="25" t="s">
        <v>53</v>
      </c>
      <c r="E20" s="25"/>
      <c r="F20" s="25" t="s">
        <v>69</v>
      </c>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row>
    <row r="21" ht="15.75" customHeight="1">
      <c r="A21" s="97"/>
      <c r="B21" s="32" t="s">
        <v>47</v>
      </c>
      <c r="C21" s="32" t="s">
        <v>54</v>
      </c>
      <c r="D21" s="32" t="s">
        <v>47</v>
      </c>
      <c r="E21" s="32" t="s">
        <v>54</v>
      </c>
      <c r="F21" s="32" t="s">
        <v>47</v>
      </c>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row>
    <row r="22" ht="15.75" customHeight="1">
      <c r="A22" s="26" t="s">
        <v>42</v>
      </c>
      <c r="B22" s="27">
        <v>2729206.0</v>
      </c>
      <c r="C22" s="98">
        <f t="shared" ref="C22:C24" si="13">B22/F22</f>
        <v>0.5033182564</v>
      </c>
      <c r="D22" s="27">
        <v>2702220.0</v>
      </c>
      <c r="E22" s="98">
        <f t="shared" ref="E22:E24" si="14">D22/F22</f>
        <v>0.4983415172</v>
      </c>
      <c r="F22" s="27">
        <v>5422426.0</v>
      </c>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row>
    <row r="23" ht="15.75" customHeight="1">
      <c r="A23" s="26" t="s">
        <v>43</v>
      </c>
      <c r="B23" s="90">
        <v>613961.0</v>
      </c>
      <c r="C23" s="98">
        <f t="shared" si="13"/>
        <v>0.4990084219</v>
      </c>
      <c r="D23" s="90">
        <v>616401.0</v>
      </c>
      <c r="E23" s="98">
        <f t="shared" si="14"/>
        <v>0.5009915781</v>
      </c>
      <c r="F23" s="27">
        <v>1230362.0</v>
      </c>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row>
    <row r="24" ht="15.75" customHeight="1">
      <c r="A24" s="26" t="s">
        <v>44</v>
      </c>
      <c r="B24" s="90">
        <v>78148.0</v>
      </c>
      <c r="C24" s="98">
        <f t="shared" si="13"/>
        <v>0.5035114622</v>
      </c>
      <c r="D24" s="90">
        <v>77058.0</v>
      </c>
      <c r="E24" s="98">
        <f t="shared" si="14"/>
        <v>0.4964885378</v>
      </c>
      <c r="F24" s="90">
        <v>155206.0</v>
      </c>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row>
    <row r="25" ht="15.75" customHeight="1">
      <c r="A25" s="24" t="s">
        <v>45</v>
      </c>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row>
    <row r="26" ht="15.75" customHeight="1">
      <c r="A26" s="24" t="s">
        <v>95</v>
      </c>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row>
    <row r="27"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row>
    <row r="28"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row>
    <row r="29" ht="15.75" customHeight="1">
      <c r="A29" s="24" t="s">
        <v>100</v>
      </c>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row>
    <row r="30" ht="15.75" customHeight="1">
      <c r="A30" s="24"/>
      <c r="B30" s="31">
        <v>2025.0</v>
      </c>
      <c r="C30" s="7"/>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row>
    <row r="31" ht="15.75" customHeight="1">
      <c r="A31" s="24"/>
      <c r="B31" s="25" t="s">
        <v>56</v>
      </c>
      <c r="C31" s="25" t="s">
        <v>57</v>
      </c>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row>
    <row r="32" ht="15.75" customHeight="1">
      <c r="A32" s="30" t="s">
        <v>58</v>
      </c>
      <c r="B32" s="47">
        <v>5517.0</v>
      </c>
      <c r="C32" s="33">
        <f t="shared" ref="C32:C43" si="15">B32/$B$43</f>
        <v>0.0355463062</v>
      </c>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row>
    <row r="33" ht="15.75" customHeight="1">
      <c r="A33" s="44" t="s">
        <v>59</v>
      </c>
      <c r="B33" s="47">
        <v>5750.0</v>
      </c>
      <c r="C33" s="33">
        <f t="shared" si="15"/>
        <v>0.03704753682</v>
      </c>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row>
    <row r="34" ht="15.75" customHeight="1">
      <c r="A34" s="44" t="s">
        <v>60</v>
      </c>
      <c r="B34" s="47">
        <v>11995.0</v>
      </c>
      <c r="C34" s="33">
        <f t="shared" si="15"/>
        <v>0.07728438334</v>
      </c>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row>
    <row r="35" ht="15.75" customHeight="1">
      <c r="A35" s="44" t="s">
        <v>61</v>
      </c>
      <c r="B35" s="47">
        <v>10878.0</v>
      </c>
      <c r="C35" s="33">
        <f t="shared" si="15"/>
        <v>0.07008749662</v>
      </c>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row>
    <row r="36" ht="15.75" customHeight="1">
      <c r="A36" s="44" t="s">
        <v>62</v>
      </c>
      <c r="B36" s="47">
        <v>11727.0</v>
      </c>
      <c r="C36" s="33">
        <f t="shared" si="15"/>
        <v>0.07555764597</v>
      </c>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row>
    <row r="37" ht="15.75" customHeight="1">
      <c r="A37" s="44" t="s">
        <v>63</v>
      </c>
      <c r="B37" s="47">
        <v>27139.0</v>
      </c>
      <c r="C37" s="33">
        <f t="shared" si="15"/>
        <v>0.1748579308</v>
      </c>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row>
    <row r="38" ht="15.75" customHeight="1">
      <c r="A38" s="44" t="s">
        <v>64</v>
      </c>
      <c r="B38" s="47">
        <v>33252.0</v>
      </c>
      <c r="C38" s="33">
        <f t="shared" si="15"/>
        <v>0.2142442947</v>
      </c>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row>
    <row r="39" ht="15.75" customHeight="1">
      <c r="A39" s="44" t="s">
        <v>65</v>
      </c>
      <c r="B39" s="47">
        <v>25260.0</v>
      </c>
      <c r="C39" s="33">
        <f t="shared" si="15"/>
        <v>0.16275144</v>
      </c>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row>
    <row r="40" ht="15.75" customHeight="1">
      <c r="A40" s="44" t="s">
        <v>66</v>
      </c>
      <c r="B40" s="47">
        <v>14644.0</v>
      </c>
      <c r="C40" s="33">
        <f t="shared" si="15"/>
        <v>0.09435202247</v>
      </c>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row>
    <row r="41" ht="15.75" customHeight="1">
      <c r="A41" s="44" t="s">
        <v>67</v>
      </c>
      <c r="B41" s="47">
        <v>6596.0</v>
      </c>
      <c r="C41" s="33">
        <f t="shared" si="15"/>
        <v>0.04249835702</v>
      </c>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row>
    <row r="42" ht="15.75" customHeight="1">
      <c r="A42" s="44" t="s">
        <v>68</v>
      </c>
      <c r="B42" s="47">
        <v>2448.0</v>
      </c>
      <c r="C42" s="33">
        <f t="shared" si="15"/>
        <v>0.01577258611</v>
      </c>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row>
    <row r="43" ht="15.75" customHeight="1">
      <c r="A43" s="99" t="s">
        <v>69</v>
      </c>
      <c r="B43" s="47">
        <v>155206.0</v>
      </c>
      <c r="C43" s="33">
        <f t="shared" si="15"/>
        <v>1</v>
      </c>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row>
    <row r="44" ht="15.75" customHeight="1">
      <c r="A44" s="100"/>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row>
    <row r="45" ht="15.75" customHeight="1">
      <c r="A45" s="100"/>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row>
    <row r="46" ht="15.75" customHeight="1">
      <c r="A46" s="100"/>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row>
    <row r="47" ht="15.75" customHeight="1">
      <c r="A47" s="100"/>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row>
    <row r="48" ht="15.75" customHeight="1">
      <c r="A48" s="100"/>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row>
    <row r="49" ht="15.75" customHeight="1">
      <c r="A49" s="100"/>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row>
    <row r="50" ht="15.75" customHeight="1">
      <c r="A50" s="100"/>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row>
    <row r="51" ht="15.75" customHeight="1">
      <c r="A51" s="100"/>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row>
    <row r="52" ht="15.75" customHeight="1">
      <c r="A52" s="100"/>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row>
    <row r="53" ht="15.75" customHeight="1">
      <c r="A53" s="100"/>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row>
    <row r="54" ht="15.75" customHeight="1">
      <c r="A54" s="100"/>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row>
    <row r="55" ht="15.75" customHeight="1">
      <c r="A55" s="100"/>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row>
    <row r="56" ht="15.75" customHeight="1">
      <c r="A56" s="100"/>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row>
    <row r="57" ht="15.75" customHeight="1">
      <c r="A57" s="100"/>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row>
    <row r="58" ht="15.75" customHeight="1">
      <c r="A58" s="100"/>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row>
    <row r="59" ht="15.75" customHeight="1">
      <c r="A59" s="100"/>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row>
    <row r="60" ht="15.75" customHeight="1">
      <c r="A60" s="100"/>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row>
    <row r="61" ht="15.75" customHeight="1">
      <c r="A61" s="100"/>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row>
    <row r="62" ht="15.75" customHeight="1">
      <c r="A62" s="100"/>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row>
    <row r="63"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row>
    <row r="64"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row>
    <row r="65"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row>
    <row r="66"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row>
    <row r="67"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row>
    <row r="6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row>
    <row r="6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row>
    <row r="70"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row>
    <row r="71"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row>
    <row r="72"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row>
    <row r="73"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row>
    <row r="74"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row>
    <row r="75"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row>
    <row r="76"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row>
    <row r="77"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row>
    <row r="7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row>
    <row r="7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row>
    <row r="80"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row>
    <row r="81"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row>
    <row r="82"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row>
    <row r="83"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row>
    <row r="84"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row>
    <row r="85"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row>
    <row r="86"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row>
    <row r="87"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row>
    <row r="8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row>
    <row r="8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row>
    <row r="90"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row>
    <row r="91"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row>
    <row r="92"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row>
    <row r="93"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row>
    <row r="94"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row>
    <row r="95"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row>
    <row r="96"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row>
    <row r="97"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row>
    <row r="9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row>
    <row r="9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row>
    <row r="100"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row>
    <row r="101"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row>
    <row r="102"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row>
    <row r="103"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row>
    <row r="104"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row>
    <row r="105"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row>
    <row r="106"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row>
    <row r="107"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row>
    <row r="10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row>
    <row r="10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row>
    <row r="110"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row>
    <row r="111"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row>
    <row r="112"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row>
    <row r="113"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row>
    <row r="114"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row>
    <row r="115"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row>
    <row r="116"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row>
    <row r="117"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row>
    <row r="11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row>
    <row r="11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row>
    <row r="120"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row>
    <row r="121"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row>
    <row r="122"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row>
    <row r="123"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row>
    <row r="124"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row>
    <row r="125"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row>
    <row r="126"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row>
    <row r="127"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row>
    <row r="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row>
    <row r="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row>
    <row r="130"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row>
    <row r="131"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row>
    <row r="132"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row>
    <row r="133"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row>
    <row r="134"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row>
    <row r="135"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row>
    <row r="136"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row>
    <row r="137"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row>
    <row r="13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row>
    <row r="13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row>
    <row r="140"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row>
    <row r="141"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row>
    <row r="142"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row>
    <row r="143"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row>
    <row r="144"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row>
    <row r="145"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row>
    <row r="146"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row>
    <row r="147"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row>
    <row r="14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row>
    <row r="14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row>
    <row r="150"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row>
    <row r="151"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row>
    <row r="152"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row>
    <row r="153"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row>
    <row r="154"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row>
    <row r="155"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row>
    <row r="156"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row>
    <row r="157"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row>
    <row r="15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row>
    <row r="15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row>
    <row r="160"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row>
    <row r="161"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row>
    <row r="162"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row>
    <row r="163"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row>
    <row r="164"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row>
    <row r="165"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row>
    <row r="166"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row>
    <row r="167"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row>
    <row r="16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row>
    <row r="16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row>
    <row r="170"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row>
    <row r="171"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row>
    <row r="172"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row>
    <row r="173"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row>
    <row r="174"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row>
    <row r="175"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row>
    <row r="176"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row>
    <row r="177"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row>
    <row r="17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row>
    <row r="17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row>
    <row r="180"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row>
    <row r="181"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row>
    <row r="182"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row>
    <row r="183"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row>
    <row r="184"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row>
    <row r="185"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row>
    <row r="186"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row>
    <row r="187"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row>
    <row r="18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row>
    <row r="18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row>
    <row r="190"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row>
    <row r="191"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row>
    <row r="192"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row>
    <row r="193"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row>
    <row r="194"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row>
    <row r="195"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row>
    <row r="196"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row>
    <row r="197"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row>
    <row r="198"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row>
    <row r="199"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row>
    <row r="200"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row>
    <row r="201"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row>
    <row r="202"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row>
    <row r="203"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row>
    <row r="204"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row>
    <row r="205"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row>
    <row r="206"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row>
    <row r="207"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row>
    <row r="208"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row>
    <row r="209"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row>
    <row r="210"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row>
    <row r="211"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row>
    <row r="212"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row>
    <row r="213"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row>
    <row r="214"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row>
    <row r="215"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row>
    <row r="216"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row>
    <row r="217"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row>
    <row r="218"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row>
    <row r="219"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row>
    <row r="220"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row>
    <row r="221"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row>
    <row r="222"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row>
    <row r="223"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row>
    <row r="224"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row>
    <row r="225"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row>
    <row r="226"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row>
    <row r="227"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row>
    <row r="228"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row>
    <row r="229"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row>
    <row r="230"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row>
    <row r="231"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row>
    <row r="232"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row>
    <row r="233"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row>
    <row r="234"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row>
    <row r="235"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row>
    <row r="236"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row>
    <row r="237"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row>
    <row r="238"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row>
    <row r="239"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row>
    <row r="240"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row>
    <row r="241"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row>
    <row r="242"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row>
    <row r="243"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row>
    <row r="244"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row>
    <row r="245"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row>
    <row r="246"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row>
    <row r="247"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row>
    <row r="248"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row>
    <row r="249"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row>
    <row r="250"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row>
    <row r="251"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row>
    <row r="252"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row>
    <row r="253"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row>
    <row r="254"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row>
    <row r="255"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row>
    <row r="256"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row>
    <row r="257"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row>
    <row r="258"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row>
    <row r="259"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row>
    <row r="260"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row>
    <row r="261"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row>
    <row r="262"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row>
    <row r="263"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row>
    <row r="264"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row>
    <row r="265"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row>
    <row r="266"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row>
    <row r="267"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row>
    <row r="268"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row>
    <row r="269"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row>
    <row r="270"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row>
    <row r="271"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row>
    <row r="272"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row>
    <row r="273"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row>
    <row r="274"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row>
    <row r="275"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row>
    <row r="276"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row>
    <row r="277"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row>
    <row r="278"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row>
    <row r="279"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row>
    <row r="280"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row>
    <row r="281"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row>
    <row r="282"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row>
    <row r="283"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row>
    <row r="284"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row>
    <row r="285"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row>
    <row r="286"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row>
    <row r="287"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row>
    <row r="288"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row>
    <row r="289"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row>
    <row r="290"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row>
    <row r="291"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row>
    <row r="292"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row>
    <row r="293"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row>
    <row r="294"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row>
    <row r="295"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row>
    <row r="296"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row>
    <row r="297"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row>
    <row r="298"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row>
    <row r="299"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row>
    <row r="300"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row>
    <row r="301"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row>
    <row r="302"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row>
    <row r="303"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row>
    <row r="304"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row>
    <row r="305"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row>
    <row r="306"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row>
    <row r="307"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row>
    <row r="308"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row>
    <row r="309"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row>
    <row r="310"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row>
    <row r="311"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row>
    <row r="312"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row>
    <row r="313"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row>
    <row r="314"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row>
    <row r="315"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row>
    <row r="316"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row>
    <row r="317"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row>
    <row r="318"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row>
    <row r="319"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row>
    <row r="320"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row>
    <row r="321"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row>
    <row r="322"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row>
    <row r="323"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row>
    <row r="324"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row>
    <row r="325"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row>
    <row r="326"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row>
    <row r="327"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row>
    <row r="328"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row>
    <row r="329"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row>
    <row r="330"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row>
    <row r="331"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row>
    <row r="332"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row>
    <row r="333"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row>
    <row r="334"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row>
    <row r="335"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row>
    <row r="336"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row>
    <row r="337"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row>
    <row r="338"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row>
    <row r="339"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row>
    <row r="340"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row>
    <row r="341"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row>
    <row r="342"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row>
    <row r="343"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row>
    <row r="344"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row>
    <row r="345"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row>
    <row r="346"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row>
    <row r="347"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row>
    <row r="348"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row>
    <row r="349"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row>
    <row r="350"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row>
    <row r="351"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row>
    <row r="352"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row>
    <row r="353"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row>
    <row r="354"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row>
    <row r="355"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row>
    <row r="356"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row>
    <row r="357"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row>
    <row r="358"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row>
    <row r="359"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row>
    <row r="360"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row>
    <row r="361"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row>
    <row r="362"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row>
    <row r="363"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row>
    <row r="364"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row>
    <row r="365"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row>
    <row r="366"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row>
    <row r="367"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row>
    <row r="368"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row>
    <row r="369"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row>
    <row r="370"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row>
    <row r="371"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row>
    <row r="372"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row>
    <row r="373"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row>
    <row r="374"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row>
    <row r="375"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row>
    <row r="376"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row>
    <row r="377"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row>
    <row r="378"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row>
    <row r="379"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row>
    <row r="380"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row>
    <row r="381"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row>
    <row r="382"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row>
    <row r="383"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row>
    <row r="384"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row>
    <row r="385"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row>
    <row r="386"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row>
    <row r="387"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row>
    <row r="388"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row>
    <row r="389"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row>
    <row r="390"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row>
    <row r="391"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row>
    <row r="392"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row>
    <row r="393"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row>
    <row r="394"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row>
    <row r="395"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row>
    <row r="396"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row>
    <row r="397"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row>
    <row r="398"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row>
    <row r="399"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row>
    <row r="400"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row>
    <row r="401"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row>
    <row r="402"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row>
    <row r="403"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row>
    <row r="404"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row>
    <row r="405"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row>
    <row r="406"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row>
    <row r="407"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row>
    <row r="408"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row>
    <row r="409"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row>
    <row r="410"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row>
    <row r="411"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row>
    <row r="412"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row>
    <row r="413"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row>
    <row r="414"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row>
    <row r="415"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row>
    <row r="416"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row>
    <row r="417"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row>
    <row r="418"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row>
    <row r="419"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row>
    <row r="420"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row>
    <row r="421"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row>
    <row r="422"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row>
    <row r="423"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row>
    <row r="424"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row>
    <row r="425"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row>
    <row r="426"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row>
    <row r="427"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row>
    <row r="428"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row>
    <row r="429"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row>
    <row r="430"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row>
    <row r="431"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row>
    <row r="432"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row>
    <row r="433"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row>
    <row r="434"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row>
    <row r="435"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row>
    <row r="436"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row>
    <row r="437"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row>
    <row r="438"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row>
    <row r="439"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row>
    <row r="440"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row>
    <row r="441"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row>
    <row r="442"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row>
    <row r="443"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row>
    <row r="444"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row>
    <row r="445"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row>
    <row r="446"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row>
    <row r="447"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row>
    <row r="448"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row>
    <row r="449"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row>
    <row r="450"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row>
    <row r="451"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row>
    <row r="452"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row>
    <row r="453"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row>
    <row r="454"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row>
    <row r="455"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row>
    <row r="456"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row>
    <row r="457"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row>
    <row r="458"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row>
    <row r="459"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row>
    <row r="460"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row>
    <row r="461"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row>
    <row r="462"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row>
    <row r="463"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row>
    <row r="464"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row>
    <row r="465"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row>
    <row r="466"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row>
    <row r="467"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row>
    <row r="468"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row>
    <row r="469"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row>
    <row r="470"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row>
    <row r="471"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row>
    <row r="472"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row>
    <row r="473"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row>
    <row r="474"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row>
    <row r="475"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row>
    <row r="476"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row>
    <row r="477"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row>
    <row r="478"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row>
    <row r="479"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row>
    <row r="480"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row>
    <row r="481"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row>
    <row r="482"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row>
    <row r="483"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row>
    <row r="484"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row>
    <row r="485"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row>
    <row r="486"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row>
    <row r="487"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row>
    <row r="488"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row>
    <row r="489"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row>
    <row r="490"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row>
    <row r="491"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row>
    <row r="492"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row>
    <row r="493"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row>
    <row r="494"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row>
    <row r="495"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row>
    <row r="496"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row>
    <row r="497"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row>
    <row r="498"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row>
    <row r="499"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row>
    <row r="500"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row>
    <row r="501"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row>
    <row r="502"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row>
    <row r="503"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row>
    <row r="504"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row>
    <row r="505"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row>
    <row r="506"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row>
    <row r="507"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row>
    <row r="508"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row>
    <row r="509"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row>
    <row r="510"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row>
    <row r="511"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row>
    <row r="512"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row>
    <row r="513"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row>
    <row r="514"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row>
    <row r="515"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row>
    <row r="516"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row>
    <row r="517"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row>
    <row r="518"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row>
    <row r="519"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row>
    <row r="520"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row>
    <row r="521"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row>
    <row r="522"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row>
    <row r="523"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row>
    <row r="524"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row>
    <row r="525"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row>
    <row r="526"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row>
    <row r="527"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row>
    <row r="528"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row>
    <row r="529"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row>
    <row r="530"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row>
    <row r="531"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row>
    <row r="532"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row>
    <row r="533"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row>
    <row r="534"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row>
    <row r="535"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row>
    <row r="536"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row>
    <row r="537"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row>
    <row r="538"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row>
    <row r="539"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row>
    <row r="540"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row>
    <row r="541"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row>
    <row r="542"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row>
    <row r="543"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row>
    <row r="544"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row>
    <row r="545"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row>
    <row r="546"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row>
    <row r="547"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row>
    <row r="548"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row>
    <row r="549"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row>
    <row r="550"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row>
    <row r="551"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row>
    <row r="552"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row>
    <row r="553"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row>
    <row r="554"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row>
    <row r="555"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row>
    <row r="556"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row>
    <row r="557"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row>
    <row r="558"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row>
    <row r="559"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row>
    <row r="560"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row>
    <row r="561"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row>
    <row r="562"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row>
    <row r="563"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row>
    <row r="564"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row>
    <row r="565"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row>
    <row r="566"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row>
    <row r="567"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row>
    <row r="568"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row>
    <row r="569"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row>
    <row r="570"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row>
    <row r="571"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row>
    <row r="572"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row>
    <row r="573"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row>
    <row r="574"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row>
    <row r="575"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row>
    <row r="576"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row>
    <row r="577"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row>
    <row r="578"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row>
    <row r="579"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row>
    <row r="580"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row>
    <row r="581"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row>
    <row r="582"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row>
    <row r="583"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row>
    <row r="584"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row>
    <row r="585"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row>
    <row r="586"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row>
    <row r="587"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row>
    <row r="588"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row>
    <row r="589"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row>
    <row r="590"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row>
    <row r="591"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row>
    <row r="592"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row>
    <row r="593"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row>
    <row r="594"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row>
    <row r="595"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row>
    <row r="596"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row>
    <row r="597"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row>
    <row r="598"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row>
    <row r="599"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row>
    <row r="600"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row>
    <row r="601"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row>
    <row r="602"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row>
    <row r="603"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row>
    <row r="604"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row>
    <row r="605"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row>
    <row r="606"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row>
    <row r="607"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row>
    <row r="608"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row>
    <row r="609"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row>
    <row r="610"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row>
    <row r="611"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row>
    <row r="612"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row>
    <row r="613"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row>
    <row r="614"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row>
    <row r="615"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row>
    <row r="616"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row>
    <row r="617"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row>
    <row r="618"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row>
    <row r="619"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row>
    <row r="620"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row>
    <row r="621"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row>
    <row r="622"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row>
    <row r="623"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row>
    <row r="624"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row>
    <row r="625"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row>
    <row r="626"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row>
    <row r="627"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row>
    <row r="628"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row>
    <row r="629"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row>
    <row r="630"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row>
    <row r="631"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row>
    <row r="632"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row>
    <row r="633"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row>
    <row r="634"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row>
    <row r="635"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row>
    <row r="636"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row>
    <row r="637"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row>
    <row r="638"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row>
    <row r="639"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row>
    <row r="640"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row>
    <row r="641"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row>
    <row r="642"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row>
    <row r="643"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row>
    <row r="644"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row>
    <row r="645"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row>
    <row r="646"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row>
    <row r="647"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row>
    <row r="648"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row>
    <row r="649"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row>
    <row r="650"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row>
    <row r="651"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row>
    <row r="652"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row>
    <row r="653"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row>
    <row r="654"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row>
    <row r="655"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row>
    <row r="656"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row>
    <row r="657"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row>
    <row r="658"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row>
    <row r="659"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row>
    <row r="660"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row>
    <row r="661"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row>
    <row r="662"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row>
    <row r="663"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row>
    <row r="664"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row>
    <row r="665"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row>
    <row r="666"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row>
    <row r="667"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row>
    <row r="668"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row>
    <row r="669"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row>
    <row r="670"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row>
    <row r="671"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row>
    <row r="672"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row>
    <row r="673"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row>
    <row r="674"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row>
    <row r="675"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row>
    <row r="676"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row>
    <row r="677"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row>
    <row r="678"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row>
    <row r="679"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row>
    <row r="680"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row>
    <row r="681"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row>
    <row r="682"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row>
    <row r="683"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row>
    <row r="684"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row>
    <row r="685"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row>
    <row r="686"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row>
    <row r="687"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row>
    <row r="688"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row>
    <row r="689"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row>
    <row r="690"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row>
    <row r="691"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row>
    <row r="692"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row>
    <row r="693"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row>
    <row r="694"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row>
    <row r="695"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row>
    <row r="696"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row>
    <row r="697"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row>
    <row r="698"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row>
    <row r="699"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row>
    <row r="700"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row>
    <row r="701"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row>
    <row r="702"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row>
    <row r="703"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row>
    <row r="704"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row>
    <row r="705"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row>
    <row r="706"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row>
    <row r="707"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row>
    <row r="708"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row>
    <row r="709"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row>
    <row r="710"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row>
    <row r="711"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row>
    <row r="712"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row>
    <row r="713"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row>
    <row r="714"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row>
    <row r="715"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row>
    <row r="716"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row>
    <row r="717"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row>
    <row r="718"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row>
    <row r="719"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row>
    <row r="720"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row>
    <row r="721"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row>
    <row r="722"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row>
    <row r="723"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row>
    <row r="724"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row>
    <row r="725"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row>
    <row r="726"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row>
    <row r="727"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row>
    <row r="728"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row>
    <row r="729"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row>
    <row r="730"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row>
    <row r="731"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row>
    <row r="732"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row>
    <row r="733"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row>
    <row r="734"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row>
    <row r="735"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row>
    <row r="736"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row>
    <row r="737"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row>
    <row r="738"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row>
    <row r="739"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row>
    <row r="740"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row>
    <row r="741"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row>
    <row r="742"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row>
    <row r="743"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row>
    <row r="744"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row>
    <row r="745"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row>
    <row r="746"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row>
    <row r="747"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row>
    <row r="748"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row>
    <row r="749"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row>
    <row r="750"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row>
    <row r="751"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row>
    <row r="752"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row>
    <row r="753"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row>
    <row r="754"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row>
    <row r="755"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row>
    <row r="756"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row>
    <row r="757"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row>
    <row r="758"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row>
    <row r="759"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row>
    <row r="760"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row>
    <row r="761"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row>
    <row r="762"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row>
    <row r="763"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row>
    <row r="764"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row>
    <row r="765"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row>
    <row r="766"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row>
    <row r="767"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row>
    <row r="768"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row>
    <row r="769"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row>
    <row r="770"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row>
    <row r="771"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row>
    <row r="772"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row>
    <row r="773"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row>
    <row r="774"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row>
    <row r="775"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row>
    <row r="776"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row>
    <row r="777"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row>
    <row r="778"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row>
    <row r="779"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row>
    <row r="780"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row>
    <row r="781"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row>
    <row r="782"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row>
    <row r="783"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row>
    <row r="784"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row>
    <row r="785"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row>
    <row r="786"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row>
    <row r="787"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row>
    <row r="788"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row>
    <row r="789"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row>
    <row r="790"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row>
    <row r="791"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row>
    <row r="792"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row>
    <row r="793"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row>
    <row r="794"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row>
    <row r="795"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row>
    <row r="796"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row>
    <row r="797"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row>
    <row r="798"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row>
    <row r="799"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row>
    <row r="800"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row>
    <row r="801"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row>
    <row r="802"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row>
    <row r="803"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row>
    <row r="804"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row>
    <row r="805"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row>
    <row r="806"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row>
    <row r="807"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row>
    <row r="808"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row>
    <row r="809"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row>
    <row r="810"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row>
    <row r="811"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row>
    <row r="812"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row>
    <row r="813"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row>
    <row r="814"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row>
    <row r="815"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row>
    <row r="816"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row>
    <row r="817"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row>
    <row r="818"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row>
    <row r="819"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row>
    <row r="820"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row>
    <row r="821"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row>
    <row r="822"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row>
    <row r="823"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row>
    <row r="824"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row>
    <row r="825"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row>
    <row r="826"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row>
    <row r="827"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row>
    <row r="828"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row>
    <row r="829"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row>
    <row r="830"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row>
    <row r="831"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row>
    <row r="832"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row>
    <row r="833"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row>
    <row r="834"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row>
    <row r="835"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row>
    <row r="836"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row>
    <row r="837"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row>
    <row r="838"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row>
    <row r="839"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row>
    <row r="840"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row>
    <row r="841"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row>
    <row r="842"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row>
    <row r="843"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row>
    <row r="844"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row>
    <row r="845"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row>
    <row r="846"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row>
    <row r="847"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row>
    <row r="848"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row>
    <row r="849"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row>
    <row r="850"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row>
    <row r="851"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row>
    <row r="852"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row>
    <row r="853"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row>
    <row r="854"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row>
    <row r="855"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row>
    <row r="856"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row>
    <row r="857"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row>
    <row r="858"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row>
    <row r="859"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row>
    <row r="860"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row>
    <row r="861"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row>
    <row r="862"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row>
    <row r="863"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row>
    <row r="864"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row>
    <row r="865"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row>
    <row r="866"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row>
    <row r="867"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row>
    <row r="868"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row>
    <row r="869"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row>
    <row r="870"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row>
    <row r="871"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row>
    <row r="872"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row>
    <row r="873"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row>
    <row r="874"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row>
    <row r="875"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row>
    <row r="876"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row>
    <row r="877"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row>
    <row r="878"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row>
    <row r="879"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row>
    <row r="880"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row>
    <row r="881"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row>
    <row r="882"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row>
    <row r="883"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row>
    <row r="884"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row>
    <row r="885"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row>
    <row r="886"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row>
    <row r="887"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row>
    <row r="888"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row>
    <row r="889"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row>
    <row r="890"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row>
    <row r="891"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row>
    <row r="892"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row>
    <row r="893"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row>
    <row r="894"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row>
    <row r="895"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row>
    <row r="896"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row>
    <row r="897"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row>
    <row r="898"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row>
    <row r="899"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row>
    <row r="900"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row>
    <row r="901"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row>
    <row r="902"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row>
    <row r="903"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row>
    <row r="904"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row>
    <row r="905"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row>
    <row r="906"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row>
    <row r="907"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row>
    <row r="908"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row>
    <row r="909"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row>
    <row r="910"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row>
    <row r="911"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row>
    <row r="912"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row>
    <row r="913"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row>
    <row r="914"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row>
    <row r="915"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row>
    <row r="916"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row>
    <row r="917"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row>
    <row r="918"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row>
    <row r="919"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row>
    <row r="920"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row>
    <row r="921"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row>
    <row r="922"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row>
    <row r="923"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row>
    <row r="924"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row>
    <row r="925"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row>
    <row r="926"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row>
    <row r="927"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row>
    <row r="928"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row>
    <row r="929"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row>
    <row r="930"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row>
    <row r="931"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row>
    <row r="932"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row>
    <row r="933"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row>
    <row r="934"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row>
    <row r="935"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row>
    <row r="936"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row>
    <row r="937"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row>
    <row r="938"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row>
    <row r="939"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row>
    <row r="940"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row>
    <row r="941"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row>
    <row r="942"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row>
    <row r="943"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row>
    <row r="944"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row>
    <row r="945"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row>
    <row r="946"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row>
    <row r="947"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row>
    <row r="948"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row>
    <row r="949"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row>
    <row r="950"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row>
    <row r="951"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row>
    <row r="952"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row>
    <row r="953"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row>
    <row r="954"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row>
    <row r="955"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row>
    <row r="956"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row>
    <row r="957"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row>
    <row r="958"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row>
    <row r="959"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row>
    <row r="960"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row>
    <row r="961"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row>
    <row r="962"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row>
    <row r="963"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row>
    <row r="964"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row>
    <row r="965"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row>
    <row r="966" ht="15.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row>
    <row r="967" ht="15.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row>
    <row r="968" ht="15.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row>
    <row r="969" ht="15.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row>
    <row r="970" ht="15.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row>
    <row r="971" ht="15.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row>
    <row r="972" ht="15.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row>
    <row r="973" ht="15.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row>
    <row r="974" ht="15.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row>
    <row r="975" ht="15.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row>
    <row r="976" ht="15.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row>
    <row r="977" ht="15.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row>
    <row r="978" ht="15.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row>
    <row r="979" ht="15.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row>
    <row r="980" ht="15.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row>
    <row r="981" ht="15.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row>
    <row r="982" ht="15.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row>
    <row r="983" ht="15.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row>
    <row r="984" ht="15.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row>
    <row r="985" ht="15.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row>
    <row r="986" ht="15.7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row>
    <row r="987" ht="15.75"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row>
    <row r="988" ht="15.75"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row>
    <row r="989" ht="15.75"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row>
    <row r="990" ht="15.75"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row>
    <row r="991" ht="15.75"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row>
    <row r="992" ht="15.75"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row>
    <row r="993" ht="15.75"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row>
    <row r="994" ht="15.75"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row>
    <row r="995" ht="15.75"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row>
    <row r="996" ht="15.75"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row>
    <row r="997" ht="15.75"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row>
    <row r="998" ht="15.75"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row>
    <row r="999" ht="15.75"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row>
    <row r="1000" ht="15.75"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row>
  </sheetData>
  <mergeCells count="23">
    <mergeCell ref="B2:D2"/>
    <mergeCell ref="E2:G2"/>
    <mergeCell ref="H2:J2"/>
    <mergeCell ref="K2:M2"/>
    <mergeCell ref="N2:P2"/>
    <mergeCell ref="Q2:S2"/>
    <mergeCell ref="T2:V2"/>
    <mergeCell ref="D12:E12"/>
    <mergeCell ref="G12:H12"/>
    <mergeCell ref="B19:F19"/>
    <mergeCell ref="B30:C30"/>
    <mergeCell ref="I12:J12"/>
    <mergeCell ref="L12:M12"/>
    <mergeCell ref="N12:O12"/>
    <mergeCell ref="Q12:R12"/>
    <mergeCell ref="B11:F11"/>
    <mergeCell ref="G11:K11"/>
    <mergeCell ref="L11:P11"/>
    <mergeCell ref="Q11:U11"/>
    <mergeCell ref="V11:Z11"/>
    <mergeCell ref="AA11:AE11"/>
    <mergeCell ref="B12:C12"/>
    <mergeCell ref="S12:T12"/>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workbookViewId="0"/>
  </sheetViews>
  <sheetFormatPr customHeight="1" defaultColWidth="12.63" defaultRowHeight="15.0"/>
  <cols>
    <col customWidth="1" min="1" max="1" width="16.38"/>
    <col customWidth="1" min="2" max="5" width="11.13"/>
    <col customWidth="1" min="6" max="6" width="21.0"/>
    <col customWidth="1" min="7" max="26" width="11.13"/>
  </cols>
  <sheetData>
    <row r="1">
      <c r="A1" s="101" t="s">
        <v>101</v>
      </c>
      <c r="B1" s="101"/>
      <c r="C1" s="49"/>
      <c r="D1" s="49"/>
      <c r="E1" s="49"/>
      <c r="F1" s="49"/>
      <c r="G1" s="49"/>
      <c r="H1" s="49"/>
      <c r="I1" s="49"/>
      <c r="J1" s="50"/>
      <c r="K1" s="50"/>
      <c r="L1" s="50"/>
      <c r="M1" s="50"/>
      <c r="N1" s="50"/>
      <c r="O1" s="50"/>
      <c r="P1" s="50"/>
      <c r="Q1" s="50"/>
      <c r="R1" s="50"/>
      <c r="S1" s="50"/>
      <c r="T1" s="50"/>
      <c r="U1" s="50"/>
      <c r="V1" s="50"/>
      <c r="W1" s="50"/>
      <c r="X1" s="50"/>
      <c r="Y1" s="50"/>
      <c r="Z1" s="50"/>
    </row>
    <row r="2">
      <c r="A2" s="102"/>
      <c r="B2" s="49"/>
      <c r="C2" s="49"/>
      <c r="D2" s="49"/>
      <c r="E2" s="49"/>
      <c r="F2" s="49"/>
      <c r="G2" s="49"/>
      <c r="H2" s="49"/>
      <c r="I2" s="49"/>
      <c r="J2" s="50"/>
      <c r="K2" s="50"/>
      <c r="L2" s="49"/>
      <c r="M2" s="50"/>
      <c r="N2" s="50"/>
      <c r="O2" s="50"/>
      <c r="P2" s="50"/>
      <c r="Q2" s="50"/>
      <c r="R2" s="50"/>
      <c r="S2" s="50"/>
      <c r="T2" s="50"/>
      <c r="U2" s="50"/>
      <c r="V2" s="50"/>
      <c r="W2" s="50"/>
      <c r="X2" s="50"/>
      <c r="Y2" s="50"/>
      <c r="Z2" s="50"/>
    </row>
    <row r="3">
      <c r="A3" s="102"/>
      <c r="B3" s="49"/>
      <c r="C3" s="49"/>
      <c r="D3" s="49"/>
      <c r="E3" s="49"/>
      <c r="F3" s="49"/>
      <c r="G3" s="49"/>
      <c r="H3" s="49"/>
      <c r="I3" s="49"/>
      <c r="J3" s="50"/>
      <c r="K3" s="50"/>
      <c r="L3" s="51"/>
      <c r="N3" s="51"/>
      <c r="P3" s="50"/>
      <c r="Q3" s="50"/>
      <c r="R3" s="50"/>
      <c r="S3" s="50"/>
      <c r="T3" s="50"/>
      <c r="U3" s="50"/>
      <c r="V3" s="50"/>
      <c r="W3" s="50"/>
      <c r="X3" s="50"/>
      <c r="Y3" s="50"/>
      <c r="Z3" s="50"/>
    </row>
    <row r="4">
      <c r="A4" s="46"/>
      <c r="B4" s="46" t="s">
        <v>42</v>
      </c>
      <c r="C4" s="46" t="s">
        <v>43</v>
      </c>
      <c r="D4" s="46" t="s">
        <v>44</v>
      </c>
      <c r="E4" s="49"/>
      <c r="F4" s="46"/>
      <c r="G4" s="46" t="s">
        <v>42</v>
      </c>
      <c r="H4" s="46" t="s">
        <v>43</v>
      </c>
      <c r="I4" s="46" t="s">
        <v>44</v>
      </c>
      <c r="J4" s="50"/>
      <c r="K4" s="49"/>
      <c r="L4" s="49"/>
      <c r="M4" s="49"/>
      <c r="N4" s="49"/>
      <c r="O4" s="49"/>
      <c r="P4" s="50"/>
      <c r="Q4" s="50"/>
      <c r="R4" s="50"/>
      <c r="S4" s="50"/>
      <c r="T4" s="50"/>
      <c r="U4" s="50"/>
      <c r="V4" s="50"/>
      <c r="W4" s="50"/>
      <c r="X4" s="50"/>
      <c r="Y4" s="50"/>
      <c r="Z4" s="50"/>
    </row>
    <row r="5">
      <c r="A5" s="103" t="s">
        <v>102</v>
      </c>
      <c r="B5" s="29">
        <v>1389640.0</v>
      </c>
      <c r="C5" s="29">
        <v>227372.0</v>
      </c>
      <c r="D5" s="29">
        <v>30041.0</v>
      </c>
      <c r="E5" s="49"/>
      <c r="F5" s="103" t="s">
        <v>102</v>
      </c>
      <c r="G5" s="104">
        <v>0.2645</v>
      </c>
      <c r="H5" s="104">
        <v>0.189</v>
      </c>
      <c r="I5" s="104">
        <v>0.1957</v>
      </c>
      <c r="J5" s="50"/>
      <c r="K5" s="102"/>
      <c r="L5" s="105"/>
      <c r="M5" s="106"/>
      <c r="N5" s="34"/>
      <c r="O5" s="107"/>
      <c r="P5" s="50"/>
      <c r="Q5" s="50"/>
      <c r="R5" s="50"/>
      <c r="S5" s="50"/>
      <c r="T5" s="50"/>
      <c r="U5" s="50"/>
      <c r="V5" s="50"/>
      <c r="W5" s="50"/>
      <c r="X5" s="50"/>
      <c r="Y5" s="50"/>
      <c r="Z5" s="50"/>
    </row>
    <row r="6">
      <c r="A6" s="103" t="s">
        <v>103</v>
      </c>
      <c r="B6" s="29">
        <v>1038383.0</v>
      </c>
      <c r="C6" s="29">
        <v>209537.0</v>
      </c>
      <c r="D6" s="29">
        <v>37535.0</v>
      </c>
      <c r="E6" s="49"/>
      <c r="F6" s="103" t="s">
        <v>103</v>
      </c>
      <c r="G6" s="104">
        <v>0.1976</v>
      </c>
      <c r="H6" s="104">
        <v>0.1742</v>
      </c>
      <c r="I6" s="104">
        <v>0.2445</v>
      </c>
      <c r="J6" s="50"/>
      <c r="K6" s="102"/>
      <c r="L6" s="105"/>
      <c r="M6" s="106"/>
      <c r="N6" s="34"/>
      <c r="O6" s="107"/>
      <c r="P6" s="50"/>
      <c r="Q6" s="50"/>
      <c r="R6" s="50"/>
      <c r="S6" s="50"/>
      <c r="T6" s="50"/>
      <c r="U6" s="50"/>
      <c r="V6" s="50"/>
      <c r="W6" s="50"/>
      <c r="X6" s="50"/>
      <c r="Y6" s="50"/>
      <c r="Z6" s="50"/>
    </row>
    <row r="7">
      <c r="A7" s="103" t="s">
        <v>104</v>
      </c>
      <c r="B7" s="29">
        <v>709387.0</v>
      </c>
      <c r="C7" s="29">
        <v>215673.0</v>
      </c>
      <c r="D7" s="29">
        <v>22091.0</v>
      </c>
      <c r="E7" s="49"/>
      <c r="F7" s="103" t="s">
        <v>104</v>
      </c>
      <c r="G7" s="104">
        <v>0.135</v>
      </c>
      <c r="H7" s="104">
        <v>0.1793</v>
      </c>
      <c r="I7" s="104">
        <v>0.1439</v>
      </c>
      <c r="J7" s="50"/>
      <c r="K7" s="102"/>
      <c r="L7" s="105"/>
      <c r="M7" s="106"/>
      <c r="N7" s="34"/>
      <c r="O7" s="107"/>
      <c r="P7" s="50"/>
      <c r="Q7" s="50"/>
      <c r="R7" s="50"/>
      <c r="S7" s="50"/>
      <c r="T7" s="50"/>
      <c r="U7" s="50"/>
      <c r="V7" s="50"/>
      <c r="W7" s="50"/>
      <c r="X7" s="50"/>
      <c r="Y7" s="50"/>
      <c r="Z7" s="50"/>
    </row>
    <row r="8">
      <c r="A8" s="103" t="s">
        <v>105</v>
      </c>
      <c r="B8" s="29">
        <v>420032.0</v>
      </c>
      <c r="C8" s="29">
        <v>82118.0</v>
      </c>
      <c r="D8" s="29">
        <v>15447.0</v>
      </c>
      <c r="E8" s="49"/>
      <c r="F8" s="103" t="s">
        <v>105</v>
      </c>
      <c r="G8" s="104">
        <v>0.08</v>
      </c>
      <c r="H8" s="104">
        <v>0.0683</v>
      </c>
      <c r="I8" s="104">
        <v>0.1006</v>
      </c>
      <c r="J8" s="50"/>
      <c r="K8" s="102"/>
      <c r="L8" s="105"/>
      <c r="M8" s="106"/>
      <c r="N8" s="34"/>
      <c r="O8" s="107"/>
      <c r="P8" s="50"/>
      <c r="Q8" s="50"/>
      <c r="R8" s="50"/>
      <c r="S8" s="50"/>
      <c r="T8" s="50"/>
      <c r="U8" s="50"/>
      <c r="V8" s="50"/>
      <c r="W8" s="50"/>
      <c r="X8" s="50"/>
      <c r="Y8" s="50"/>
      <c r="Z8" s="50"/>
    </row>
    <row r="9">
      <c r="A9" s="103" t="s">
        <v>106</v>
      </c>
      <c r="B9" s="29">
        <v>35908.0</v>
      </c>
      <c r="C9" s="29">
        <v>6495.0</v>
      </c>
      <c r="D9" s="108">
        <v>418.0</v>
      </c>
      <c r="E9" s="49"/>
      <c r="F9" s="103" t="s">
        <v>106</v>
      </c>
      <c r="G9" s="104">
        <v>0.0068</v>
      </c>
      <c r="H9" s="104">
        <v>0.0054</v>
      </c>
      <c r="I9" s="104">
        <v>0.0027</v>
      </c>
      <c r="J9" s="50"/>
      <c r="K9" s="102"/>
      <c r="L9" s="105"/>
      <c r="M9" s="106"/>
      <c r="N9" s="109"/>
      <c r="O9" s="107"/>
      <c r="P9" s="50"/>
      <c r="Q9" s="50"/>
      <c r="R9" s="50"/>
      <c r="S9" s="50"/>
      <c r="T9" s="50"/>
      <c r="U9" s="50"/>
      <c r="V9" s="50"/>
      <c r="W9" s="50"/>
      <c r="X9" s="50"/>
      <c r="Y9" s="50"/>
      <c r="Z9" s="50"/>
    </row>
    <row r="10">
      <c r="A10" s="103" t="s">
        <v>107</v>
      </c>
      <c r="B10" s="29">
        <v>26825.0</v>
      </c>
      <c r="C10" s="29">
        <v>4747.0</v>
      </c>
      <c r="D10" s="108">
        <v>549.0</v>
      </c>
      <c r="E10" s="49"/>
      <c r="F10" s="103" t="s">
        <v>107</v>
      </c>
      <c r="G10" s="104">
        <v>0.0051</v>
      </c>
      <c r="H10" s="104">
        <v>0.0039</v>
      </c>
      <c r="I10" s="104">
        <v>0.0036</v>
      </c>
      <c r="J10" s="50"/>
      <c r="K10" s="102"/>
      <c r="L10" s="105"/>
      <c r="M10" s="106"/>
      <c r="N10" s="109"/>
      <c r="O10" s="107"/>
      <c r="P10" s="50"/>
      <c r="Q10" s="50"/>
      <c r="R10" s="50"/>
      <c r="S10" s="50"/>
      <c r="T10" s="50"/>
      <c r="U10" s="50"/>
      <c r="V10" s="50"/>
      <c r="W10" s="50"/>
      <c r="X10" s="50"/>
      <c r="Y10" s="50"/>
      <c r="Z10" s="50"/>
    </row>
    <row r="11">
      <c r="A11" s="103" t="s">
        <v>108</v>
      </c>
      <c r="B11" s="29">
        <v>80746.0</v>
      </c>
      <c r="C11" s="29">
        <v>15276.0</v>
      </c>
      <c r="D11" s="108">
        <v>620.0</v>
      </c>
      <c r="E11" s="49"/>
      <c r="F11" s="103" t="s">
        <v>108</v>
      </c>
      <c r="G11" s="104">
        <v>0.0154</v>
      </c>
      <c r="H11" s="104">
        <v>0.0127</v>
      </c>
      <c r="I11" s="104">
        <v>0.004</v>
      </c>
      <c r="J11" s="50"/>
      <c r="K11" s="102"/>
      <c r="L11" s="105"/>
      <c r="M11" s="106"/>
      <c r="N11" s="109"/>
      <c r="O11" s="107"/>
      <c r="P11" s="50"/>
      <c r="Q11" s="50"/>
      <c r="R11" s="50"/>
      <c r="S11" s="50"/>
      <c r="T11" s="50"/>
      <c r="U11" s="50"/>
      <c r="V11" s="50"/>
      <c r="W11" s="50"/>
      <c r="X11" s="50"/>
      <c r="Y11" s="50"/>
      <c r="Z11" s="50"/>
    </row>
    <row r="12">
      <c r="A12" s="103" t="s">
        <v>109</v>
      </c>
      <c r="B12" s="29">
        <v>489938.0</v>
      </c>
      <c r="C12" s="29">
        <v>133225.0</v>
      </c>
      <c r="D12" s="29">
        <v>8480.0</v>
      </c>
      <c r="E12" s="49"/>
      <c r="F12" s="103" t="s">
        <v>109</v>
      </c>
      <c r="G12" s="104">
        <v>0.0933</v>
      </c>
      <c r="H12" s="104">
        <v>0.1107</v>
      </c>
      <c r="I12" s="104">
        <v>0.0552</v>
      </c>
      <c r="J12" s="50"/>
      <c r="K12" s="102"/>
      <c r="L12" s="105"/>
      <c r="M12" s="106"/>
      <c r="N12" s="34"/>
      <c r="O12" s="107"/>
      <c r="P12" s="50"/>
      <c r="Q12" s="50"/>
      <c r="R12" s="50"/>
      <c r="S12" s="50"/>
      <c r="T12" s="50"/>
      <c r="U12" s="50"/>
      <c r="V12" s="50"/>
      <c r="W12" s="50"/>
      <c r="X12" s="50"/>
      <c r="Y12" s="50"/>
      <c r="Z12" s="50"/>
    </row>
    <row r="13">
      <c r="A13" s="103" t="s">
        <v>110</v>
      </c>
      <c r="B13" s="29">
        <v>659107.0</v>
      </c>
      <c r="C13" s="29">
        <v>162790.0</v>
      </c>
      <c r="D13" s="29">
        <v>32821.0</v>
      </c>
      <c r="E13" s="49"/>
      <c r="F13" s="103" t="s">
        <v>110</v>
      </c>
      <c r="G13" s="104">
        <v>0.1255</v>
      </c>
      <c r="H13" s="104">
        <v>0.1353</v>
      </c>
      <c r="I13" s="104">
        <v>0.2138</v>
      </c>
      <c r="J13" s="50"/>
      <c r="K13" s="102"/>
      <c r="L13" s="105"/>
      <c r="M13" s="106"/>
      <c r="N13" s="34"/>
      <c r="O13" s="107"/>
      <c r="P13" s="50"/>
      <c r="Q13" s="50"/>
      <c r="R13" s="50"/>
      <c r="S13" s="50"/>
      <c r="T13" s="50"/>
      <c r="U13" s="50"/>
      <c r="V13" s="50"/>
      <c r="W13" s="50"/>
      <c r="X13" s="50"/>
      <c r="Y13" s="50"/>
      <c r="Z13" s="50"/>
    </row>
    <row r="14">
      <c r="A14" s="103" t="s">
        <v>111</v>
      </c>
      <c r="B14" s="29">
        <v>18889.0</v>
      </c>
      <c r="C14" s="29">
        <v>3182.0</v>
      </c>
      <c r="D14" s="108">
        <v>187.0</v>
      </c>
      <c r="E14" s="49"/>
      <c r="F14" s="103" t="s">
        <v>111</v>
      </c>
      <c r="G14" s="104">
        <v>0.0036</v>
      </c>
      <c r="H14" s="104">
        <v>0.0026</v>
      </c>
      <c r="I14" s="104">
        <v>0.0012</v>
      </c>
      <c r="J14" s="50"/>
      <c r="K14" s="102"/>
      <c r="L14" s="105"/>
      <c r="M14" s="106"/>
      <c r="N14" s="109"/>
      <c r="O14" s="107"/>
      <c r="P14" s="50"/>
      <c r="Q14" s="50"/>
      <c r="R14" s="50"/>
      <c r="S14" s="50"/>
      <c r="T14" s="50"/>
      <c r="U14" s="50"/>
      <c r="V14" s="50"/>
      <c r="W14" s="50"/>
      <c r="X14" s="50"/>
      <c r="Y14" s="50"/>
      <c r="Z14" s="50"/>
    </row>
    <row r="15">
      <c r="A15" s="103" t="s">
        <v>112</v>
      </c>
      <c r="B15" s="29">
        <v>382236.0</v>
      </c>
      <c r="C15" s="29">
        <v>142265.0</v>
      </c>
      <c r="D15" s="29">
        <v>5269.0</v>
      </c>
      <c r="E15" s="49"/>
      <c r="F15" s="103" t="s">
        <v>112</v>
      </c>
      <c r="G15" s="104">
        <v>0.0728</v>
      </c>
      <c r="H15" s="104">
        <v>0.1182</v>
      </c>
      <c r="I15" s="104">
        <v>0.0343</v>
      </c>
      <c r="J15" s="50"/>
      <c r="K15" s="102"/>
      <c r="L15" s="105"/>
      <c r="M15" s="106"/>
      <c r="N15" s="34"/>
      <c r="O15" s="107"/>
      <c r="P15" s="50"/>
      <c r="Q15" s="50"/>
      <c r="R15" s="50"/>
      <c r="S15" s="50"/>
      <c r="T15" s="50"/>
      <c r="U15" s="50"/>
      <c r="V15" s="50"/>
      <c r="W15" s="50"/>
      <c r="X15" s="50"/>
      <c r="Y15" s="50"/>
      <c r="Z15" s="50"/>
    </row>
    <row r="16">
      <c r="A16" s="103" t="s">
        <v>113</v>
      </c>
      <c r="B16" s="29">
        <v>2078.0</v>
      </c>
      <c r="C16" s="108">
        <v>391.0</v>
      </c>
      <c r="D16" s="108">
        <v>27.0</v>
      </c>
      <c r="E16" s="49"/>
      <c r="F16" s="103" t="s">
        <v>113</v>
      </c>
      <c r="G16" s="104">
        <v>4.0E-4</v>
      </c>
      <c r="H16" s="104">
        <v>3.0E-4</v>
      </c>
      <c r="I16" s="104">
        <v>2.0E-4</v>
      </c>
      <c r="J16" s="50"/>
      <c r="K16" s="102"/>
      <c r="L16" s="105"/>
      <c r="M16" s="106"/>
      <c r="N16" s="109"/>
      <c r="O16" s="107"/>
      <c r="P16" s="50"/>
      <c r="Q16" s="50"/>
      <c r="R16" s="50"/>
      <c r="S16" s="50"/>
      <c r="T16" s="50"/>
      <c r="U16" s="50"/>
      <c r="V16" s="50"/>
      <c r="W16" s="50"/>
      <c r="X16" s="50"/>
      <c r="Y16" s="50"/>
      <c r="Z16" s="50"/>
    </row>
    <row r="17">
      <c r="A17" s="110" t="s">
        <v>114</v>
      </c>
      <c r="B17" s="111">
        <v>489.0</v>
      </c>
      <c r="C17" s="111">
        <v>67.0</v>
      </c>
      <c r="D17" s="111">
        <v>2.0</v>
      </c>
      <c r="E17" s="49"/>
      <c r="F17" s="110" t="s">
        <v>114</v>
      </c>
      <c r="G17" s="112">
        <v>1.0E-4</v>
      </c>
      <c r="H17" s="104">
        <v>1.0E-4</v>
      </c>
      <c r="I17" s="104">
        <v>0.0</v>
      </c>
      <c r="J17" s="50"/>
      <c r="K17" s="102"/>
      <c r="L17" s="105"/>
      <c r="M17" s="106"/>
      <c r="N17" s="109"/>
      <c r="O17" s="107"/>
      <c r="P17" s="50"/>
      <c r="Q17" s="50"/>
      <c r="R17" s="50"/>
      <c r="S17" s="50"/>
      <c r="T17" s="50"/>
      <c r="U17" s="50"/>
      <c r="V17" s="50"/>
      <c r="W17" s="50"/>
      <c r="X17" s="50"/>
      <c r="Y17" s="50"/>
      <c r="Z17" s="50"/>
    </row>
    <row r="18">
      <c r="A18" s="103" t="s">
        <v>69</v>
      </c>
      <c r="B18" s="29">
        <v>5253658.0</v>
      </c>
      <c r="C18" s="29">
        <v>1203138.0</v>
      </c>
      <c r="D18" s="29">
        <v>153487.0</v>
      </c>
      <c r="E18" s="49"/>
      <c r="F18" s="103" t="s">
        <v>69</v>
      </c>
      <c r="G18" s="104">
        <v>1.0</v>
      </c>
      <c r="H18" s="113">
        <v>1.0</v>
      </c>
      <c r="I18" s="104">
        <v>1.0</v>
      </c>
      <c r="J18" s="50"/>
      <c r="K18" s="102"/>
      <c r="L18" s="62"/>
      <c r="M18" s="106"/>
      <c r="N18" s="34"/>
      <c r="O18" s="107"/>
      <c r="P18" s="50"/>
      <c r="Q18" s="50"/>
      <c r="R18" s="50"/>
      <c r="S18" s="50"/>
      <c r="T18" s="50"/>
      <c r="U18" s="50"/>
      <c r="V18" s="50"/>
      <c r="W18" s="50"/>
      <c r="X18" s="50"/>
      <c r="Y18" s="50"/>
      <c r="Z18" s="50"/>
    </row>
    <row r="19">
      <c r="A19" s="50"/>
      <c r="B19" s="50"/>
      <c r="C19" s="50"/>
      <c r="D19" s="50"/>
      <c r="E19" s="50"/>
      <c r="F19" s="50"/>
      <c r="G19" s="50"/>
      <c r="H19" s="50"/>
      <c r="I19" s="50"/>
      <c r="J19" s="50"/>
      <c r="K19" s="50"/>
      <c r="L19" s="50"/>
      <c r="M19" s="50"/>
      <c r="N19" s="50"/>
      <c r="O19" s="50"/>
      <c r="P19" s="50"/>
      <c r="Q19" s="50"/>
      <c r="R19" s="50"/>
      <c r="S19" s="50"/>
      <c r="T19" s="50"/>
      <c r="U19" s="50"/>
      <c r="V19" s="50"/>
      <c r="W19" s="50"/>
      <c r="X19" s="50"/>
      <c r="Y19" s="50"/>
      <c r="Z19" s="50"/>
    </row>
    <row r="20">
      <c r="A20" s="50"/>
      <c r="B20" s="50"/>
      <c r="C20" s="50"/>
      <c r="D20" s="50"/>
      <c r="E20" s="50"/>
      <c r="F20" s="50"/>
      <c r="G20" s="50"/>
      <c r="H20" s="50"/>
      <c r="I20" s="50"/>
      <c r="J20" s="50"/>
      <c r="K20" s="50"/>
      <c r="L20" s="50"/>
      <c r="M20" s="50"/>
      <c r="N20" s="50"/>
      <c r="O20" s="50"/>
      <c r="P20" s="50"/>
      <c r="Q20" s="50"/>
      <c r="R20" s="50"/>
      <c r="S20" s="50"/>
      <c r="T20" s="50"/>
      <c r="U20" s="50"/>
      <c r="V20" s="50"/>
      <c r="W20" s="50"/>
      <c r="X20" s="50"/>
      <c r="Y20" s="50"/>
      <c r="Z20" s="50"/>
    </row>
    <row r="21">
      <c r="A21" s="49"/>
      <c r="B21" s="49"/>
      <c r="C21" s="49"/>
      <c r="D21" s="49"/>
      <c r="E21" s="50"/>
      <c r="F21" s="102"/>
      <c r="G21" s="49"/>
      <c r="H21" s="49"/>
      <c r="I21" s="49"/>
      <c r="J21" s="50"/>
      <c r="K21" s="50"/>
      <c r="L21" s="50"/>
      <c r="M21" s="50"/>
      <c r="N21" s="50"/>
      <c r="O21" s="50"/>
      <c r="P21" s="50"/>
      <c r="Q21" s="50"/>
      <c r="R21" s="50"/>
      <c r="S21" s="50"/>
      <c r="T21" s="50"/>
      <c r="U21" s="50"/>
      <c r="V21" s="50"/>
      <c r="W21" s="50"/>
      <c r="X21" s="50"/>
      <c r="Y21" s="50"/>
      <c r="Z21" s="50"/>
    </row>
    <row r="22">
      <c r="A22" s="114"/>
      <c r="B22" s="107"/>
      <c r="C22" s="49"/>
      <c r="D22" s="49"/>
      <c r="E22" s="50"/>
      <c r="F22" s="49"/>
      <c r="G22" s="49"/>
      <c r="H22" s="49"/>
      <c r="I22" s="49"/>
      <c r="J22" s="50"/>
      <c r="K22" s="50"/>
      <c r="L22" s="50"/>
      <c r="M22" s="50"/>
      <c r="N22" s="50"/>
      <c r="O22" s="50"/>
      <c r="P22" s="50"/>
      <c r="Q22" s="50"/>
      <c r="R22" s="50"/>
      <c r="S22" s="50"/>
      <c r="T22" s="50"/>
      <c r="U22" s="50"/>
      <c r="V22" s="50"/>
      <c r="W22" s="50"/>
      <c r="X22" s="50"/>
      <c r="Y22" s="50"/>
      <c r="Z22" s="50"/>
    </row>
    <row r="23">
      <c r="A23" s="115"/>
      <c r="B23" s="116"/>
      <c r="C23" s="117"/>
      <c r="D23" s="117"/>
      <c r="E23" s="50"/>
      <c r="F23" s="102"/>
      <c r="G23" s="116"/>
      <c r="H23" s="116"/>
      <c r="I23" s="116"/>
      <c r="J23" s="50"/>
      <c r="K23" s="50"/>
      <c r="L23" s="50"/>
      <c r="M23" s="50"/>
      <c r="N23" s="50"/>
      <c r="O23" s="50"/>
      <c r="P23" s="50"/>
      <c r="Q23" s="50"/>
      <c r="R23" s="50"/>
      <c r="S23" s="50"/>
      <c r="T23" s="50"/>
      <c r="U23" s="50"/>
      <c r="V23" s="50"/>
      <c r="W23" s="50"/>
      <c r="X23" s="50"/>
      <c r="Y23" s="50"/>
      <c r="Z23" s="50"/>
    </row>
    <row r="24">
      <c r="A24" s="115"/>
      <c r="B24" s="116"/>
      <c r="C24" s="117"/>
      <c r="D24" s="117"/>
      <c r="E24" s="50"/>
      <c r="F24" s="102"/>
      <c r="G24" s="116"/>
      <c r="H24" s="116"/>
      <c r="I24" s="116"/>
      <c r="J24" s="50"/>
      <c r="K24" s="50"/>
      <c r="L24" s="50"/>
      <c r="M24" s="50"/>
      <c r="N24" s="50"/>
      <c r="O24" s="50"/>
      <c r="P24" s="50"/>
      <c r="Q24" s="50"/>
      <c r="R24" s="50"/>
      <c r="S24" s="50"/>
      <c r="T24" s="50"/>
      <c r="U24" s="50"/>
      <c r="V24" s="50"/>
      <c r="W24" s="50"/>
      <c r="X24" s="50"/>
      <c r="Y24" s="50"/>
      <c r="Z24" s="50"/>
    </row>
    <row r="25">
      <c r="A25" s="114"/>
      <c r="B25" s="116"/>
      <c r="C25" s="100"/>
      <c r="D25" s="117"/>
      <c r="E25" s="50"/>
      <c r="F25" s="102"/>
      <c r="G25" s="116"/>
      <c r="H25" s="116"/>
      <c r="I25" s="116"/>
      <c r="J25" s="50"/>
      <c r="K25" s="50"/>
      <c r="L25" s="50"/>
      <c r="M25" s="50"/>
      <c r="N25" s="50"/>
      <c r="O25" s="50"/>
      <c r="P25" s="50"/>
      <c r="Q25" s="50"/>
      <c r="R25" s="50"/>
      <c r="S25" s="50"/>
      <c r="T25" s="50"/>
      <c r="U25" s="50"/>
      <c r="V25" s="50"/>
      <c r="W25" s="50"/>
      <c r="X25" s="50"/>
      <c r="Y25" s="50"/>
      <c r="Z25" s="50"/>
    </row>
    <row r="26">
      <c r="A26" s="61"/>
      <c r="B26" s="116"/>
      <c r="C26" s="100"/>
      <c r="D26" s="117"/>
      <c r="E26" s="50"/>
      <c r="F26" s="102"/>
      <c r="G26" s="116"/>
      <c r="H26" s="116"/>
      <c r="I26" s="116"/>
      <c r="J26" s="50"/>
      <c r="K26" s="50"/>
      <c r="L26" s="50"/>
      <c r="M26" s="50"/>
      <c r="N26" s="50"/>
      <c r="O26" s="50"/>
      <c r="P26" s="50"/>
      <c r="Q26" s="50"/>
      <c r="R26" s="50"/>
      <c r="S26" s="50"/>
      <c r="T26" s="50"/>
      <c r="U26" s="50"/>
      <c r="V26" s="50"/>
      <c r="W26" s="50"/>
      <c r="X26" s="50"/>
      <c r="Y26" s="50"/>
      <c r="Z26" s="50"/>
    </row>
    <row r="27">
      <c r="A27" s="61"/>
      <c r="B27" s="116"/>
      <c r="C27" s="100"/>
      <c r="D27" s="117"/>
      <c r="E27" s="50"/>
      <c r="F27" s="102"/>
      <c r="G27" s="116"/>
      <c r="H27" s="116"/>
      <c r="I27" s="116"/>
      <c r="J27" s="50"/>
      <c r="K27" s="50"/>
      <c r="L27" s="50"/>
      <c r="M27" s="50"/>
      <c r="N27" s="50"/>
      <c r="O27" s="50"/>
      <c r="P27" s="50"/>
      <c r="Q27" s="50"/>
      <c r="R27" s="50"/>
      <c r="S27" s="50"/>
      <c r="T27" s="50"/>
      <c r="U27" s="50"/>
      <c r="V27" s="50"/>
      <c r="W27" s="50"/>
      <c r="X27" s="50"/>
      <c r="Y27" s="50"/>
      <c r="Z27" s="50"/>
    </row>
    <row r="28">
      <c r="A28" s="61"/>
      <c r="B28" s="116"/>
      <c r="C28" s="100"/>
      <c r="D28" s="117"/>
      <c r="E28" s="50"/>
      <c r="F28" s="102"/>
      <c r="G28" s="116"/>
      <c r="H28" s="116"/>
      <c r="I28" s="116"/>
      <c r="J28" s="50"/>
      <c r="K28" s="50"/>
      <c r="L28" s="50"/>
      <c r="M28" s="50"/>
      <c r="N28" s="50"/>
      <c r="O28" s="50"/>
      <c r="P28" s="50"/>
      <c r="Q28" s="50"/>
      <c r="R28" s="50"/>
      <c r="S28" s="50"/>
      <c r="T28" s="50"/>
      <c r="U28" s="50"/>
      <c r="V28" s="50"/>
      <c r="W28" s="50"/>
      <c r="X28" s="50"/>
      <c r="Y28" s="50"/>
      <c r="Z28" s="50"/>
    </row>
    <row r="29">
      <c r="A29" s="114"/>
      <c r="B29" s="116"/>
      <c r="C29" s="100"/>
      <c r="D29" s="117"/>
      <c r="E29" s="50"/>
      <c r="F29" s="102"/>
      <c r="G29" s="116"/>
      <c r="H29" s="116"/>
      <c r="I29" s="116"/>
      <c r="J29" s="50"/>
      <c r="K29" s="50"/>
      <c r="L29" s="50"/>
      <c r="M29" s="50"/>
      <c r="N29" s="50"/>
      <c r="O29" s="50"/>
      <c r="P29" s="50"/>
      <c r="Q29" s="50"/>
      <c r="R29" s="50"/>
      <c r="S29" s="50"/>
      <c r="T29" s="50"/>
      <c r="U29" s="50"/>
      <c r="V29" s="50"/>
      <c r="W29" s="50"/>
      <c r="X29" s="50"/>
      <c r="Y29" s="50"/>
      <c r="Z29" s="50"/>
    </row>
    <row r="30">
      <c r="A30" s="115"/>
      <c r="B30" s="116"/>
      <c r="C30" s="100"/>
      <c r="D30" s="117"/>
      <c r="E30" s="50"/>
      <c r="F30" s="102"/>
      <c r="G30" s="116"/>
      <c r="H30" s="116"/>
      <c r="I30" s="116"/>
      <c r="J30" s="50"/>
      <c r="K30" s="50"/>
      <c r="L30" s="50"/>
      <c r="M30" s="50"/>
      <c r="N30" s="50"/>
      <c r="O30" s="50"/>
      <c r="P30" s="50"/>
      <c r="Q30" s="50"/>
      <c r="R30" s="50"/>
      <c r="S30" s="50"/>
      <c r="T30" s="50"/>
      <c r="U30" s="50"/>
      <c r="V30" s="50"/>
      <c r="W30" s="50"/>
      <c r="X30" s="50"/>
      <c r="Y30" s="50"/>
      <c r="Z30" s="50"/>
    </row>
    <row r="31">
      <c r="A31" s="61"/>
      <c r="B31" s="116"/>
      <c r="C31" s="100"/>
      <c r="D31" s="117"/>
      <c r="E31" s="50"/>
      <c r="F31" s="102"/>
      <c r="G31" s="116"/>
      <c r="H31" s="116"/>
      <c r="I31" s="116"/>
      <c r="J31" s="50"/>
      <c r="K31" s="50"/>
      <c r="L31" s="50"/>
      <c r="M31" s="50"/>
      <c r="N31" s="50"/>
      <c r="O31" s="50"/>
      <c r="P31" s="50"/>
      <c r="Q31" s="50"/>
      <c r="R31" s="50"/>
      <c r="S31" s="50"/>
      <c r="T31" s="50"/>
      <c r="U31" s="50"/>
      <c r="V31" s="50"/>
      <c r="W31" s="50"/>
      <c r="X31" s="50"/>
      <c r="Y31" s="50"/>
      <c r="Z31" s="50"/>
    </row>
    <row r="32">
      <c r="A32" s="114"/>
      <c r="B32" s="116"/>
      <c r="C32" s="100"/>
      <c r="D32" s="117"/>
      <c r="E32" s="50"/>
      <c r="F32" s="102"/>
      <c r="G32" s="116"/>
      <c r="H32" s="116"/>
      <c r="I32" s="116"/>
      <c r="J32" s="50"/>
      <c r="K32" s="50"/>
      <c r="L32" s="50"/>
      <c r="M32" s="50"/>
      <c r="N32" s="50"/>
      <c r="O32" s="50"/>
      <c r="P32" s="50"/>
      <c r="Q32" s="50"/>
      <c r="R32" s="50"/>
      <c r="S32" s="50"/>
      <c r="T32" s="50"/>
      <c r="U32" s="50"/>
      <c r="V32" s="50"/>
      <c r="W32" s="50"/>
      <c r="X32" s="50"/>
      <c r="Y32" s="50"/>
      <c r="Z32" s="50"/>
    </row>
    <row r="33">
      <c r="A33" s="61"/>
      <c r="B33" s="116"/>
      <c r="C33" s="100"/>
      <c r="D33" s="117"/>
      <c r="E33" s="50"/>
      <c r="F33" s="102"/>
      <c r="G33" s="116"/>
      <c r="H33" s="116"/>
      <c r="I33" s="116"/>
      <c r="J33" s="50"/>
      <c r="K33" s="50"/>
      <c r="L33" s="50"/>
      <c r="M33" s="50"/>
      <c r="N33" s="50"/>
      <c r="O33" s="50"/>
      <c r="P33" s="50"/>
      <c r="Q33" s="50"/>
      <c r="R33" s="50"/>
      <c r="S33" s="50"/>
      <c r="T33" s="50"/>
      <c r="U33" s="50"/>
      <c r="V33" s="50"/>
      <c r="W33" s="50"/>
      <c r="X33" s="50"/>
      <c r="Y33" s="50"/>
      <c r="Z33" s="50"/>
    </row>
    <row r="34">
      <c r="A34" s="61"/>
      <c r="B34" s="116"/>
      <c r="C34" s="100"/>
      <c r="D34" s="117"/>
      <c r="E34" s="50"/>
      <c r="F34" s="102"/>
      <c r="G34" s="116"/>
      <c r="H34" s="116"/>
      <c r="I34" s="116"/>
      <c r="J34" s="50"/>
      <c r="K34" s="50"/>
      <c r="L34" s="50"/>
      <c r="M34" s="50"/>
      <c r="N34" s="50"/>
      <c r="O34" s="50"/>
      <c r="P34" s="50"/>
      <c r="Q34" s="50"/>
      <c r="R34" s="50"/>
      <c r="S34" s="50"/>
      <c r="T34" s="50"/>
      <c r="U34" s="50"/>
      <c r="V34" s="50"/>
      <c r="W34" s="50"/>
      <c r="X34" s="50"/>
      <c r="Y34" s="50"/>
      <c r="Z34" s="50"/>
    </row>
    <row r="35">
      <c r="A35" s="118"/>
      <c r="B35" s="116"/>
      <c r="C35" s="100"/>
      <c r="D35" s="117"/>
      <c r="E35" s="50"/>
      <c r="F35" s="102"/>
      <c r="G35" s="116"/>
      <c r="H35" s="116"/>
      <c r="I35" s="116"/>
      <c r="J35" s="50"/>
      <c r="K35" s="50"/>
      <c r="L35" s="50"/>
      <c r="M35" s="50"/>
      <c r="N35" s="50"/>
      <c r="O35" s="50"/>
      <c r="P35" s="50"/>
      <c r="Q35" s="50"/>
      <c r="R35" s="50"/>
      <c r="S35" s="50"/>
      <c r="T35" s="50"/>
      <c r="U35" s="50"/>
      <c r="V35" s="50"/>
      <c r="W35" s="50"/>
      <c r="X35" s="50"/>
      <c r="Y35" s="50"/>
      <c r="Z35" s="50"/>
    </row>
    <row r="36">
      <c r="A36" s="102"/>
      <c r="B36" s="116"/>
      <c r="C36" s="116"/>
      <c r="D36" s="116"/>
      <c r="E36" s="50"/>
      <c r="F36" s="50"/>
      <c r="G36" s="50"/>
      <c r="H36" s="50"/>
      <c r="I36" s="50"/>
      <c r="J36" s="50"/>
      <c r="K36" s="50"/>
      <c r="L36" s="50"/>
      <c r="M36" s="50"/>
      <c r="N36" s="50"/>
      <c r="O36" s="50"/>
      <c r="P36" s="50"/>
      <c r="Q36" s="50"/>
      <c r="R36" s="50"/>
      <c r="S36" s="50"/>
      <c r="T36" s="50"/>
      <c r="U36" s="50"/>
      <c r="V36" s="50"/>
      <c r="W36" s="50"/>
      <c r="X36" s="50"/>
      <c r="Y36" s="50"/>
      <c r="Z36" s="50"/>
    </row>
    <row r="37">
      <c r="A37" s="50"/>
      <c r="B37" s="50"/>
      <c r="C37" s="50"/>
      <c r="D37" s="50"/>
      <c r="E37" s="50"/>
      <c r="F37" s="50"/>
      <c r="G37" s="50"/>
      <c r="H37" s="50"/>
      <c r="I37" s="50"/>
      <c r="J37" s="50"/>
      <c r="K37" s="50"/>
      <c r="L37" s="50"/>
      <c r="M37" s="50"/>
      <c r="N37" s="50"/>
      <c r="O37" s="50"/>
      <c r="P37" s="50"/>
      <c r="Q37" s="50"/>
      <c r="R37" s="50"/>
      <c r="S37" s="50"/>
      <c r="T37" s="50"/>
      <c r="U37" s="50"/>
      <c r="V37" s="50"/>
      <c r="W37" s="50"/>
      <c r="X37" s="50"/>
      <c r="Y37" s="50"/>
      <c r="Z37" s="50"/>
    </row>
    <row r="38">
      <c r="A38" s="50"/>
      <c r="B38" s="50"/>
      <c r="C38" s="50"/>
      <c r="D38" s="50"/>
      <c r="E38" s="50"/>
      <c r="F38" s="50"/>
      <c r="G38" s="50"/>
      <c r="H38" s="50"/>
      <c r="I38" s="50"/>
      <c r="J38" s="50"/>
      <c r="K38" s="50"/>
      <c r="L38" s="50"/>
      <c r="M38" s="50"/>
      <c r="N38" s="50"/>
      <c r="O38" s="50"/>
      <c r="P38" s="50"/>
      <c r="Q38" s="50"/>
      <c r="R38" s="50"/>
      <c r="S38" s="50"/>
      <c r="T38" s="50"/>
      <c r="U38" s="50"/>
      <c r="V38" s="50"/>
      <c r="W38" s="50"/>
      <c r="X38" s="50"/>
      <c r="Y38" s="50"/>
      <c r="Z38" s="50"/>
    </row>
    <row r="39">
      <c r="A39" s="50"/>
      <c r="B39" s="50"/>
      <c r="C39" s="50"/>
      <c r="D39" s="50"/>
      <c r="E39" s="50"/>
      <c r="F39" s="50"/>
      <c r="G39" s="50"/>
      <c r="H39" s="50"/>
      <c r="I39" s="50"/>
      <c r="J39" s="50"/>
      <c r="K39" s="50"/>
      <c r="L39" s="50"/>
      <c r="M39" s="50"/>
      <c r="N39" s="50"/>
      <c r="O39" s="50"/>
      <c r="P39" s="50"/>
      <c r="Q39" s="50"/>
      <c r="R39" s="50"/>
      <c r="S39" s="50"/>
      <c r="T39" s="50"/>
      <c r="U39" s="50"/>
      <c r="V39" s="50"/>
      <c r="W39" s="50"/>
      <c r="X39" s="50"/>
      <c r="Y39" s="50"/>
      <c r="Z39" s="50"/>
    </row>
    <row r="40">
      <c r="A40" s="50"/>
      <c r="B40" s="50"/>
      <c r="C40" s="50"/>
      <c r="D40" s="50"/>
      <c r="E40" s="50"/>
      <c r="F40" s="50"/>
      <c r="G40" s="50"/>
      <c r="H40" s="50"/>
      <c r="I40" s="50"/>
      <c r="J40" s="50"/>
      <c r="K40" s="50"/>
      <c r="L40" s="50"/>
      <c r="M40" s="50"/>
      <c r="N40" s="50"/>
      <c r="O40" s="50"/>
      <c r="P40" s="50"/>
      <c r="Q40" s="50"/>
      <c r="R40" s="50"/>
      <c r="S40" s="50"/>
      <c r="T40" s="50"/>
      <c r="U40" s="50"/>
      <c r="V40" s="50"/>
      <c r="W40" s="50"/>
      <c r="X40" s="50"/>
      <c r="Y40" s="50"/>
      <c r="Z40" s="50"/>
    </row>
    <row r="41">
      <c r="A41" s="50"/>
      <c r="B41" s="50"/>
      <c r="C41" s="50"/>
      <c r="D41" s="50"/>
      <c r="E41" s="50"/>
      <c r="F41" s="50"/>
      <c r="G41" s="50"/>
      <c r="H41" s="50"/>
      <c r="I41" s="50"/>
      <c r="J41" s="50"/>
      <c r="K41" s="50"/>
      <c r="L41" s="50"/>
      <c r="M41" s="50"/>
      <c r="N41" s="50"/>
      <c r="O41" s="50"/>
      <c r="P41" s="50"/>
      <c r="Q41" s="50"/>
      <c r="R41" s="50"/>
      <c r="S41" s="50"/>
      <c r="T41" s="50"/>
      <c r="U41" s="50"/>
      <c r="V41" s="50"/>
      <c r="W41" s="50"/>
      <c r="X41" s="50"/>
      <c r="Y41" s="50"/>
      <c r="Z41" s="50"/>
    </row>
    <row r="42">
      <c r="A42" s="50"/>
      <c r="B42" s="50"/>
      <c r="C42" s="50"/>
      <c r="D42" s="50"/>
      <c r="E42" s="50"/>
      <c r="F42" s="50"/>
      <c r="G42" s="50"/>
      <c r="H42" s="50"/>
      <c r="I42" s="50"/>
      <c r="J42" s="50"/>
      <c r="K42" s="50"/>
      <c r="L42" s="50"/>
      <c r="M42" s="50"/>
      <c r="N42" s="50"/>
      <c r="O42" s="50"/>
      <c r="P42" s="50"/>
      <c r="Q42" s="50"/>
      <c r="R42" s="50"/>
      <c r="S42" s="50"/>
      <c r="T42" s="50"/>
      <c r="U42" s="50"/>
      <c r="V42" s="50"/>
      <c r="W42" s="50"/>
      <c r="X42" s="50"/>
      <c r="Y42" s="50"/>
      <c r="Z42" s="50"/>
    </row>
    <row r="43">
      <c r="A43" s="50"/>
      <c r="B43" s="50"/>
      <c r="C43" s="50"/>
      <c r="D43" s="50"/>
      <c r="E43" s="50"/>
      <c r="F43" s="50"/>
      <c r="G43" s="50"/>
      <c r="H43" s="50"/>
      <c r="I43" s="50"/>
      <c r="J43" s="50"/>
      <c r="K43" s="50"/>
      <c r="L43" s="50"/>
      <c r="M43" s="50"/>
      <c r="N43" s="50"/>
      <c r="O43" s="50"/>
      <c r="P43" s="50"/>
      <c r="Q43" s="50"/>
      <c r="R43" s="50"/>
      <c r="S43" s="50"/>
      <c r="T43" s="50"/>
      <c r="U43" s="50"/>
      <c r="V43" s="50"/>
      <c r="W43" s="50"/>
      <c r="X43" s="50"/>
      <c r="Y43" s="50"/>
      <c r="Z43" s="50"/>
    </row>
    <row r="44">
      <c r="A44" s="50"/>
      <c r="B44" s="50"/>
      <c r="C44" s="50"/>
      <c r="D44" s="50"/>
      <c r="E44" s="50"/>
      <c r="F44" s="50"/>
      <c r="G44" s="50"/>
      <c r="H44" s="50"/>
      <c r="I44" s="50"/>
      <c r="J44" s="50"/>
      <c r="K44" s="50"/>
      <c r="L44" s="50"/>
      <c r="M44" s="50"/>
      <c r="N44" s="50"/>
      <c r="O44" s="50"/>
      <c r="P44" s="50"/>
      <c r="Q44" s="50"/>
      <c r="R44" s="50"/>
      <c r="S44" s="50"/>
      <c r="T44" s="50"/>
      <c r="U44" s="50"/>
      <c r="V44" s="50"/>
      <c r="W44" s="50"/>
      <c r="X44" s="50"/>
      <c r="Y44" s="50"/>
      <c r="Z44" s="50"/>
    </row>
    <row r="45">
      <c r="A45" s="50"/>
      <c r="B45" s="50"/>
      <c r="C45" s="50"/>
      <c r="D45" s="50"/>
      <c r="E45" s="50"/>
      <c r="F45" s="50"/>
      <c r="G45" s="50"/>
      <c r="H45" s="50"/>
      <c r="I45" s="50"/>
      <c r="J45" s="50"/>
      <c r="K45" s="50"/>
      <c r="L45" s="50"/>
      <c r="M45" s="50"/>
      <c r="N45" s="50"/>
      <c r="O45" s="50"/>
      <c r="P45" s="50"/>
      <c r="Q45" s="50"/>
      <c r="R45" s="50"/>
      <c r="S45" s="50"/>
      <c r="T45" s="50"/>
      <c r="U45" s="50"/>
      <c r="V45" s="50"/>
      <c r="W45" s="50"/>
      <c r="X45" s="50"/>
      <c r="Y45" s="50"/>
      <c r="Z45" s="50"/>
    </row>
    <row r="46">
      <c r="A46" s="50"/>
      <c r="B46" s="50"/>
      <c r="C46" s="50"/>
      <c r="D46" s="50"/>
      <c r="E46" s="50"/>
      <c r="F46" s="50"/>
      <c r="G46" s="50"/>
      <c r="H46" s="50"/>
      <c r="I46" s="50"/>
      <c r="J46" s="50"/>
      <c r="K46" s="50"/>
      <c r="L46" s="50"/>
      <c r="M46" s="50"/>
      <c r="N46" s="50"/>
      <c r="O46" s="50"/>
      <c r="P46" s="50"/>
      <c r="Q46" s="50"/>
      <c r="R46" s="50"/>
      <c r="S46" s="50"/>
      <c r="T46" s="50"/>
      <c r="U46" s="50"/>
      <c r="V46" s="50"/>
      <c r="W46" s="50"/>
      <c r="X46" s="50"/>
      <c r="Y46" s="50"/>
      <c r="Z46" s="50"/>
    </row>
    <row r="47">
      <c r="A47" s="50"/>
      <c r="B47" s="50"/>
      <c r="C47" s="50"/>
      <c r="D47" s="50"/>
      <c r="E47" s="50"/>
      <c r="F47" s="50"/>
      <c r="G47" s="50"/>
      <c r="H47" s="50"/>
      <c r="I47" s="50"/>
      <c r="J47" s="50"/>
      <c r="K47" s="50"/>
      <c r="L47" s="50"/>
      <c r="M47" s="50"/>
      <c r="N47" s="50"/>
      <c r="O47" s="50"/>
      <c r="P47" s="50"/>
      <c r="Q47" s="50"/>
      <c r="R47" s="50"/>
      <c r="S47" s="50"/>
      <c r="T47" s="50"/>
      <c r="U47" s="50"/>
      <c r="V47" s="50"/>
      <c r="W47" s="50"/>
      <c r="X47" s="50"/>
      <c r="Y47" s="50"/>
      <c r="Z47" s="50"/>
    </row>
    <row r="48">
      <c r="A48" s="50"/>
      <c r="B48" s="50"/>
      <c r="C48" s="50"/>
      <c r="D48" s="50"/>
      <c r="E48" s="50"/>
      <c r="F48" s="50"/>
      <c r="G48" s="50"/>
      <c r="H48" s="50"/>
      <c r="I48" s="50"/>
      <c r="J48" s="50"/>
      <c r="K48" s="50"/>
      <c r="L48" s="50"/>
      <c r="M48" s="50"/>
      <c r="N48" s="50"/>
      <c r="O48" s="50"/>
      <c r="P48" s="50"/>
      <c r="Q48" s="50"/>
      <c r="R48" s="50"/>
      <c r="S48" s="50"/>
      <c r="T48" s="50"/>
      <c r="U48" s="50"/>
      <c r="V48" s="50"/>
      <c r="W48" s="50"/>
      <c r="X48" s="50"/>
      <c r="Y48" s="50"/>
      <c r="Z48" s="50"/>
    </row>
    <row r="49">
      <c r="A49" s="50"/>
      <c r="B49" s="50"/>
      <c r="C49" s="50"/>
      <c r="D49" s="50"/>
      <c r="E49" s="50"/>
      <c r="F49" s="50"/>
      <c r="G49" s="50"/>
      <c r="H49" s="50"/>
      <c r="I49" s="50"/>
      <c r="J49" s="50"/>
      <c r="K49" s="50"/>
      <c r="L49" s="50"/>
      <c r="M49" s="50"/>
      <c r="N49" s="50"/>
      <c r="O49" s="50"/>
      <c r="P49" s="50"/>
      <c r="Q49" s="50"/>
      <c r="R49" s="50"/>
      <c r="S49" s="50"/>
      <c r="T49" s="50"/>
      <c r="U49" s="50"/>
      <c r="V49" s="50"/>
      <c r="W49" s="50"/>
      <c r="X49" s="50"/>
      <c r="Y49" s="50"/>
      <c r="Z49" s="50"/>
    </row>
    <row r="50">
      <c r="A50" s="50"/>
      <c r="B50" s="50"/>
      <c r="C50" s="50"/>
      <c r="D50" s="50"/>
      <c r="E50" s="50"/>
      <c r="F50" s="50"/>
      <c r="G50" s="50"/>
      <c r="H50" s="50"/>
      <c r="I50" s="50"/>
      <c r="J50" s="50"/>
      <c r="K50" s="50"/>
      <c r="L50" s="50"/>
      <c r="M50" s="50"/>
      <c r="N50" s="50"/>
      <c r="O50" s="50"/>
      <c r="P50" s="50"/>
      <c r="Q50" s="50"/>
      <c r="R50" s="50"/>
      <c r="S50" s="50"/>
      <c r="T50" s="50"/>
      <c r="U50" s="50"/>
      <c r="V50" s="50"/>
      <c r="W50" s="50"/>
      <c r="X50" s="50"/>
      <c r="Y50" s="50"/>
      <c r="Z50" s="50"/>
    </row>
    <row r="51">
      <c r="A51" s="50"/>
      <c r="B51" s="50"/>
      <c r="C51" s="50"/>
      <c r="D51" s="50"/>
      <c r="E51" s="50"/>
      <c r="F51" s="50"/>
      <c r="G51" s="50"/>
      <c r="H51" s="50"/>
      <c r="I51" s="50"/>
      <c r="J51" s="50"/>
      <c r="K51" s="50"/>
      <c r="L51" s="50"/>
      <c r="M51" s="50"/>
      <c r="N51" s="50"/>
      <c r="O51" s="50"/>
      <c r="P51" s="50"/>
      <c r="Q51" s="50"/>
      <c r="R51" s="50"/>
      <c r="S51" s="50"/>
      <c r="T51" s="50"/>
      <c r="U51" s="50"/>
      <c r="V51" s="50"/>
      <c r="W51" s="50"/>
      <c r="X51" s="50"/>
      <c r="Y51" s="50"/>
      <c r="Z51" s="50"/>
    </row>
    <row r="52">
      <c r="A52" s="50"/>
      <c r="B52" s="50"/>
      <c r="C52" s="50"/>
      <c r="D52" s="50"/>
      <c r="E52" s="50"/>
      <c r="F52" s="50"/>
      <c r="G52" s="50"/>
      <c r="H52" s="50"/>
      <c r="I52" s="50"/>
      <c r="J52" s="50"/>
      <c r="K52" s="50"/>
      <c r="L52" s="50"/>
      <c r="M52" s="50"/>
      <c r="N52" s="50"/>
      <c r="O52" s="50"/>
      <c r="P52" s="50"/>
      <c r="Q52" s="50"/>
      <c r="R52" s="50"/>
      <c r="S52" s="50"/>
      <c r="T52" s="50"/>
      <c r="U52" s="50"/>
      <c r="V52" s="50"/>
      <c r="W52" s="50"/>
      <c r="X52" s="50"/>
      <c r="Y52" s="50"/>
      <c r="Z52" s="50"/>
    </row>
    <row r="53">
      <c r="A53" s="50"/>
      <c r="B53" s="50"/>
      <c r="C53" s="50"/>
      <c r="D53" s="50"/>
      <c r="E53" s="50"/>
      <c r="F53" s="50"/>
      <c r="G53" s="50"/>
      <c r="H53" s="50"/>
      <c r="I53" s="50"/>
      <c r="J53" s="50"/>
      <c r="K53" s="50"/>
      <c r="L53" s="50"/>
      <c r="M53" s="50"/>
      <c r="N53" s="50"/>
      <c r="O53" s="50"/>
      <c r="P53" s="50"/>
      <c r="Q53" s="50"/>
      <c r="R53" s="50"/>
      <c r="S53" s="50"/>
      <c r="T53" s="50"/>
      <c r="U53" s="50"/>
      <c r="V53" s="50"/>
      <c r="W53" s="50"/>
      <c r="X53" s="50"/>
      <c r="Y53" s="50"/>
      <c r="Z53" s="50"/>
    </row>
    <row r="54">
      <c r="A54" s="50"/>
      <c r="B54" s="50"/>
      <c r="C54" s="50"/>
      <c r="D54" s="50"/>
      <c r="E54" s="50"/>
      <c r="F54" s="50"/>
      <c r="G54" s="50"/>
      <c r="H54" s="50"/>
      <c r="I54" s="50"/>
      <c r="J54" s="50"/>
      <c r="K54" s="50"/>
      <c r="L54" s="50"/>
      <c r="M54" s="50"/>
      <c r="N54" s="50"/>
      <c r="O54" s="50"/>
      <c r="P54" s="50"/>
      <c r="Q54" s="50"/>
      <c r="R54" s="50"/>
      <c r="S54" s="50"/>
      <c r="T54" s="50"/>
      <c r="U54" s="50"/>
      <c r="V54" s="50"/>
      <c r="W54" s="50"/>
      <c r="X54" s="50"/>
      <c r="Y54" s="50"/>
      <c r="Z54" s="50"/>
    </row>
    <row r="55">
      <c r="A55" s="50"/>
      <c r="B55" s="50"/>
      <c r="C55" s="50"/>
      <c r="D55" s="50"/>
      <c r="E55" s="50"/>
      <c r="F55" s="50"/>
      <c r="G55" s="50"/>
      <c r="H55" s="50"/>
      <c r="I55" s="50"/>
      <c r="J55" s="50"/>
      <c r="K55" s="50"/>
      <c r="L55" s="50"/>
      <c r="M55" s="50"/>
      <c r="N55" s="50"/>
      <c r="O55" s="50"/>
      <c r="P55" s="50"/>
      <c r="Q55" s="50"/>
      <c r="R55" s="50"/>
      <c r="S55" s="50"/>
      <c r="T55" s="50"/>
      <c r="U55" s="50"/>
      <c r="V55" s="50"/>
      <c r="W55" s="50"/>
      <c r="X55" s="50"/>
      <c r="Y55" s="50"/>
      <c r="Z55" s="50"/>
    </row>
    <row r="56">
      <c r="A56" s="50"/>
      <c r="B56" s="50"/>
      <c r="C56" s="50"/>
      <c r="D56" s="50"/>
      <c r="E56" s="50"/>
      <c r="F56" s="50"/>
      <c r="G56" s="50"/>
      <c r="H56" s="50"/>
      <c r="I56" s="50"/>
      <c r="J56" s="50"/>
      <c r="K56" s="50"/>
      <c r="L56" s="50"/>
      <c r="M56" s="50"/>
      <c r="N56" s="50"/>
      <c r="O56" s="50"/>
      <c r="P56" s="50"/>
      <c r="Q56" s="50"/>
      <c r="R56" s="50"/>
      <c r="S56" s="50"/>
      <c r="T56" s="50"/>
      <c r="U56" s="50"/>
      <c r="V56" s="50"/>
      <c r="W56" s="50"/>
      <c r="X56" s="50"/>
      <c r="Y56" s="50"/>
      <c r="Z56" s="50"/>
    </row>
    <row r="57">
      <c r="A57" s="50"/>
      <c r="B57" s="50"/>
      <c r="C57" s="50"/>
      <c r="D57" s="50"/>
      <c r="E57" s="50"/>
      <c r="F57" s="50"/>
      <c r="G57" s="50"/>
      <c r="H57" s="50"/>
      <c r="I57" s="50"/>
      <c r="J57" s="50"/>
      <c r="K57" s="50"/>
      <c r="L57" s="50"/>
      <c r="M57" s="50"/>
      <c r="N57" s="50"/>
      <c r="O57" s="50"/>
      <c r="P57" s="50"/>
      <c r="Q57" s="50"/>
      <c r="R57" s="50"/>
      <c r="S57" s="50"/>
      <c r="T57" s="50"/>
      <c r="U57" s="50"/>
      <c r="V57" s="50"/>
      <c r="W57" s="50"/>
      <c r="X57" s="50"/>
      <c r="Y57" s="50"/>
      <c r="Z57" s="50"/>
    </row>
    <row r="58">
      <c r="A58" s="50"/>
      <c r="B58" s="50"/>
      <c r="C58" s="50"/>
      <c r="D58" s="50"/>
      <c r="E58" s="50"/>
      <c r="F58" s="50"/>
      <c r="G58" s="50"/>
      <c r="H58" s="50"/>
      <c r="I58" s="50"/>
      <c r="J58" s="50"/>
      <c r="K58" s="50"/>
      <c r="L58" s="50"/>
      <c r="M58" s="50"/>
      <c r="N58" s="50"/>
      <c r="O58" s="50"/>
      <c r="P58" s="50"/>
      <c r="Q58" s="50"/>
      <c r="R58" s="50"/>
      <c r="S58" s="50"/>
      <c r="T58" s="50"/>
      <c r="U58" s="50"/>
      <c r="V58" s="50"/>
      <c r="W58" s="50"/>
      <c r="X58" s="50"/>
      <c r="Y58" s="50"/>
      <c r="Z58" s="50"/>
    </row>
    <row r="59">
      <c r="A59" s="50"/>
      <c r="B59" s="50"/>
      <c r="C59" s="50"/>
      <c r="D59" s="50"/>
      <c r="E59" s="50"/>
      <c r="F59" s="50"/>
      <c r="G59" s="50"/>
      <c r="H59" s="50"/>
      <c r="I59" s="50"/>
      <c r="J59" s="50"/>
      <c r="K59" s="50"/>
      <c r="L59" s="50"/>
      <c r="M59" s="50"/>
      <c r="N59" s="50"/>
      <c r="O59" s="50"/>
      <c r="P59" s="50"/>
      <c r="Q59" s="50"/>
      <c r="R59" s="50"/>
      <c r="S59" s="50"/>
      <c r="T59" s="50"/>
      <c r="U59" s="50"/>
      <c r="V59" s="50"/>
      <c r="W59" s="50"/>
      <c r="X59" s="50"/>
      <c r="Y59" s="50"/>
      <c r="Z59" s="50"/>
    </row>
    <row r="60">
      <c r="A60" s="50"/>
      <c r="B60" s="50"/>
      <c r="C60" s="50"/>
      <c r="D60" s="50"/>
      <c r="E60" s="50"/>
      <c r="F60" s="50"/>
      <c r="G60" s="50"/>
      <c r="H60" s="50"/>
      <c r="I60" s="50"/>
      <c r="J60" s="50"/>
      <c r="K60" s="50"/>
      <c r="L60" s="50"/>
      <c r="M60" s="50"/>
      <c r="N60" s="50"/>
      <c r="O60" s="50"/>
      <c r="P60" s="50"/>
      <c r="Q60" s="50"/>
      <c r="R60" s="50"/>
      <c r="S60" s="50"/>
      <c r="T60" s="50"/>
      <c r="U60" s="50"/>
      <c r="V60" s="50"/>
      <c r="W60" s="50"/>
      <c r="X60" s="50"/>
      <c r="Y60" s="50"/>
      <c r="Z60" s="50"/>
    </row>
    <row r="61">
      <c r="A61" s="50"/>
      <c r="B61" s="50"/>
      <c r="C61" s="50"/>
      <c r="D61" s="50"/>
      <c r="E61" s="50"/>
      <c r="F61" s="50"/>
      <c r="G61" s="50"/>
      <c r="H61" s="50"/>
      <c r="I61" s="50"/>
      <c r="J61" s="50"/>
      <c r="K61" s="50"/>
      <c r="L61" s="50"/>
      <c r="M61" s="50"/>
      <c r="N61" s="50"/>
      <c r="O61" s="50"/>
      <c r="P61" s="50"/>
      <c r="Q61" s="50"/>
      <c r="R61" s="50"/>
      <c r="S61" s="50"/>
      <c r="T61" s="50"/>
      <c r="U61" s="50"/>
      <c r="V61" s="50"/>
      <c r="W61" s="50"/>
      <c r="X61" s="50"/>
      <c r="Y61" s="50"/>
      <c r="Z61" s="50"/>
    </row>
    <row r="62">
      <c r="A62" s="50"/>
      <c r="B62" s="50"/>
      <c r="C62" s="50"/>
      <c r="D62" s="50"/>
      <c r="E62" s="50"/>
      <c r="F62" s="50"/>
      <c r="G62" s="50"/>
      <c r="H62" s="50"/>
      <c r="I62" s="50"/>
      <c r="J62" s="50"/>
      <c r="K62" s="50"/>
      <c r="L62" s="50"/>
      <c r="M62" s="50"/>
      <c r="N62" s="50"/>
      <c r="O62" s="50"/>
      <c r="P62" s="50"/>
      <c r="Q62" s="50"/>
      <c r="R62" s="50"/>
      <c r="S62" s="50"/>
      <c r="T62" s="50"/>
      <c r="U62" s="50"/>
      <c r="V62" s="50"/>
      <c r="W62" s="50"/>
      <c r="X62" s="50"/>
      <c r="Y62" s="50"/>
      <c r="Z62" s="50"/>
    </row>
    <row r="63">
      <c r="A63" s="50"/>
      <c r="B63" s="50"/>
      <c r="C63" s="50"/>
      <c r="D63" s="50"/>
      <c r="E63" s="50"/>
      <c r="F63" s="50"/>
      <c r="G63" s="50"/>
      <c r="H63" s="50"/>
      <c r="I63" s="50"/>
      <c r="J63" s="50"/>
      <c r="K63" s="50"/>
      <c r="L63" s="50"/>
      <c r="M63" s="50"/>
      <c r="N63" s="50"/>
      <c r="O63" s="50"/>
      <c r="P63" s="50"/>
      <c r="Q63" s="50"/>
      <c r="R63" s="50"/>
      <c r="S63" s="50"/>
      <c r="T63" s="50"/>
      <c r="U63" s="50"/>
      <c r="V63" s="50"/>
      <c r="W63" s="50"/>
      <c r="X63" s="50"/>
      <c r="Y63" s="50"/>
      <c r="Z63" s="50"/>
    </row>
    <row r="64">
      <c r="A64" s="50"/>
      <c r="B64" s="50"/>
      <c r="C64" s="50"/>
      <c r="D64" s="50"/>
      <c r="E64" s="50"/>
      <c r="F64" s="50"/>
      <c r="G64" s="50"/>
      <c r="H64" s="50"/>
      <c r="I64" s="50"/>
      <c r="J64" s="50"/>
      <c r="K64" s="50"/>
      <c r="L64" s="50"/>
      <c r="M64" s="50"/>
      <c r="N64" s="50"/>
      <c r="O64" s="50"/>
      <c r="P64" s="50"/>
      <c r="Q64" s="50"/>
      <c r="R64" s="50"/>
      <c r="S64" s="50"/>
      <c r="T64" s="50"/>
      <c r="U64" s="50"/>
      <c r="V64" s="50"/>
      <c r="W64" s="50"/>
      <c r="X64" s="50"/>
      <c r="Y64" s="50"/>
      <c r="Z64" s="50"/>
    </row>
    <row r="65">
      <c r="A65" s="50"/>
      <c r="B65" s="50"/>
      <c r="C65" s="50"/>
      <c r="D65" s="50"/>
      <c r="E65" s="50"/>
      <c r="F65" s="50"/>
      <c r="G65" s="50"/>
      <c r="H65" s="50"/>
      <c r="I65" s="50"/>
      <c r="J65" s="50"/>
      <c r="K65" s="50"/>
      <c r="L65" s="50"/>
      <c r="M65" s="50"/>
      <c r="N65" s="50"/>
      <c r="O65" s="50"/>
      <c r="P65" s="50"/>
      <c r="Q65" s="50"/>
      <c r="R65" s="50"/>
      <c r="S65" s="50"/>
      <c r="T65" s="50"/>
      <c r="U65" s="50"/>
      <c r="V65" s="50"/>
      <c r="W65" s="50"/>
      <c r="X65" s="50"/>
      <c r="Y65" s="50"/>
      <c r="Z65" s="50"/>
    </row>
    <row r="66">
      <c r="A66" s="50"/>
      <c r="B66" s="50"/>
      <c r="C66" s="50"/>
      <c r="D66" s="50"/>
      <c r="E66" s="50"/>
      <c r="F66" s="50"/>
      <c r="G66" s="50"/>
      <c r="H66" s="50"/>
      <c r="I66" s="50"/>
      <c r="J66" s="50"/>
      <c r="K66" s="50"/>
      <c r="L66" s="50"/>
      <c r="M66" s="50"/>
      <c r="N66" s="50"/>
      <c r="O66" s="50"/>
      <c r="P66" s="50"/>
      <c r="Q66" s="50"/>
      <c r="R66" s="50"/>
      <c r="S66" s="50"/>
      <c r="T66" s="50"/>
      <c r="U66" s="50"/>
      <c r="V66" s="50"/>
      <c r="W66" s="50"/>
      <c r="X66" s="50"/>
      <c r="Y66" s="50"/>
      <c r="Z66" s="50"/>
    </row>
    <row r="67">
      <c r="A67" s="50"/>
      <c r="B67" s="50"/>
      <c r="C67" s="50"/>
      <c r="D67" s="50"/>
      <c r="E67" s="50"/>
      <c r="F67" s="50"/>
      <c r="G67" s="50"/>
      <c r="H67" s="50"/>
      <c r="I67" s="50"/>
      <c r="J67" s="50"/>
      <c r="K67" s="50"/>
      <c r="L67" s="50"/>
      <c r="M67" s="50"/>
      <c r="N67" s="50"/>
      <c r="O67" s="50"/>
      <c r="P67" s="50"/>
      <c r="Q67" s="50"/>
      <c r="R67" s="50"/>
      <c r="S67" s="50"/>
      <c r="T67" s="50"/>
      <c r="U67" s="50"/>
      <c r="V67" s="50"/>
      <c r="W67" s="50"/>
      <c r="X67" s="50"/>
      <c r="Y67" s="50"/>
      <c r="Z67" s="50"/>
    </row>
    <row r="68">
      <c r="A68" s="50"/>
      <c r="B68" s="50"/>
      <c r="C68" s="50"/>
      <c r="D68" s="50"/>
      <c r="E68" s="50"/>
      <c r="F68" s="50"/>
      <c r="G68" s="50"/>
      <c r="H68" s="50"/>
      <c r="I68" s="50"/>
      <c r="J68" s="50"/>
      <c r="K68" s="50"/>
      <c r="L68" s="50"/>
      <c r="M68" s="50"/>
      <c r="N68" s="50"/>
      <c r="O68" s="50"/>
      <c r="P68" s="50"/>
      <c r="Q68" s="50"/>
      <c r="R68" s="50"/>
      <c r="S68" s="50"/>
      <c r="T68" s="50"/>
      <c r="U68" s="50"/>
      <c r="V68" s="50"/>
      <c r="W68" s="50"/>
      <c r="X68" s="50"/>
      <c r="Y68" s="50"/>
      <c r="Z68" s="50"/>
    </row>
    <row r="69">
      <c r="A69" s="50"/>
      <c r="B69" s="50"/>
      <c r="C69" s="50"/>
      <c r="D69" s="50"/>
      <c r="E69" s="50"/>
      <c r="F69" s="50"/>
      <c r="G69" s="50"/>
      <c r="H69" s="50"/>
      <c r="I69" s="50"/>
      <c r="J69" s="50"/>
      <c r="K69" s="50"/>
      <c r="L69" s="50"/>
      <c r="M69" s="50"/>
      <c r="N69" s="50"/>
      <c r="O69" s="50"/>
      <c r="P69" s="50"/>
      <c r="Q69" s="50"/>
      <c r="R69" s="50"/>
      <c r="S69" s="50"/>
      <c r="T69" s="50"/>
      <c r="U69" s="50"/>
      <c r="V69" s="50"/>
      <c r="W69" s="50"/>
      <c r="X69" s="50"/>
      <c r="Y69" s="50"/>
      <c r="Z69" s="50"/>
    </row>
    <row r="70">
      <c r="A70" s="50"/>
      <c r="B70" s="50"/>
      <c r="C70" s="50"/>
      <c r="D70" s="50"/>
      <c r="E70" s="50"/>
      <c r="F70" s="50"/>
      <c r="G70" s="50"/>
      <c r="H70" s="50"/>
      <c r="I70" s="50"/>
      <c r="J70" s="50"/>
      <c r="K70" s="50"/>
      <c r="L70" s="50"/>
      <c r="M70" s="50"/>
      <c r="N70" s="50"/>
      <c r="O70" s="50"/>
      <c r="P70" s="50"/>
      <c r="Q70" s="50"/>
      <c r="R70" s="50"/>
      <c r="S70" s="50"/>
      <c r="T70" s="50"/>
      <c r="U70" s="50"/>
      <c r="V70" s="50"/>
      <c r="W70" s="50"/>
      <c r="X70" s="50"/>
      <c r="Y70" s="50"/>
      <c r="Z70" s="50"/>
    </row>
    <row r="71">
      <c r="A71" s="50"/>
      <c r="B71" s="50"/>
      <c r="C71" s="50"/>
      <c r="D71" s="50"/>
      <c r="E71" s="50"/>
      <c r="F71" s="50"/>
      <c r="G71" s="50"/>
      <c r="H71" s="50"/>
      <c r="I71" s="50"/>
      <c r="J71" s="50"/>
      <c r="K71" s="50"/>
      <c r="L71" s="50"/>
      <c r="M71" s="50"/>
      <c r="N71" s="50"/>
      <c r="O71" s="50"/>
      <c r="P71" s="50"/>
      <c r="Q71" s="50"/>
      <c r="R71" s="50"/>
      <c r="S71" s="50"/>
      <c r="T71" s="50"/>
      <c r="U71" s="50"/>
      <c r="V71" s="50"/>
      <c r="W71" s="50"/>
      <c r="X71" s="50"/>
      <c r="Y71" s="50"/>
      <c r="Z71" s="50"/>
    </row>
    <row r="72">
      <c r="A72" s="50"/>
      <c r="B72" s="50"/>
      <c r="C72" s="50"/>
      <c r="D72" s="50"/>
      <c r="E72" s="50"/>
      <c r="F72" s="50"/>
      <c r="G72" s="50"/>
      <c r="H72" s="50"/>
      <c r="I72" s="50"/>
      <c r="J72" s="50"/>
      <c r="K72" s="50"/>
      <c r="L72" s="50"/>
      <c r="M72" s="50"/>
      <c r="N72" s="50"/>
      <c r="O72" s="50"/>
      <c r="P72" s="50"/>
      <c r="Q72" s="50"/>
      <c r="R72" s="50"/>
      <c r="S72" s="50"/>
      <c r="T72" s="50"/>
      <c r="U72" s="50"/>
      <c r="V72" s="50"/>
      <c r="W72" s="50"/>
      <c r="X72" s="50"/>
      <c r="Y72" s="50"/>
      <c r="Z72" s="50"/>
    </row>
    <row r="73">
      <c r="A73" s="50"/>
      <c r="B73" s="50"/>
      <c r="C73" s="50"/>
      <c r="D73" s="50"/>
      <c r="E73" s="50"/>
      <c r="F73" s="50"/>
      <c r="G73" s="50"/>
      <c r="H73" s="50"/>
      <c r="I73" s="50"/>
      <c r="J73" s="50"/>
      <c r="K73" s="50"/>
      <c r="L73" s="50"/>
      <c r="M73" s="50"/>
      <c r="N73" s="50"/>
      <c r="O73" s="50"/>
      <c r="P73" s="50"/>
      <c r="Q73" s="50"/>
      <c r="R73" s="50"/>
      <c r="S73" s="50"/>
      <c r="T73" s="50"/>
      <c r="U73" s="50"/>
      <c r="V73" s="50"/>
      <c r="W73" s="50"/>
      <c r="X73" s="50"/>
      <c r="Y73" s="50"/>
      <c r="Z73" s="50"/>
    </row>
    <row r="74">
      <c r="A74" s="50"/>
      <c r="B74" s="50"/>
      <c r="C74" s="50"/>
      <c r="D74" s="50"/>
      <c r="E74" s="50"/>
      <c r="F74" s="50"/>
      <c r="G74" s="50"/>
      <c r="H74" s="50"/>
      <c r="I74" s="50"/>
      <c r="J74" s="50"/>
      <c r="K74" s="50"/>
      <c r="L74" s="50"/>
      <c r="M74" s="50"/>
      <c r="N74" s="50"/>
      <c r="O74" s="50"/>
      <c r="P74" s="50"/>
      <c r="Q74" s="50"/>
      <c r="R74" s="50"/>
      <c r="S74" s="50"/>
      <c r="T74" s="50"/>
      <c r="U74" s="50"/>
      <c r="V74" s="50"/>
      <c r="W74" s="50"/>
      <c r="X74" s="50"/>
      <c r="Y74" s="50"/>
      <c r="Z74" s="50"/>
    </row>
    <row r="75">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row>
    <row r="76">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row>
    <row r="77">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row>
    <row r="78">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row>
    <row r="79">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row>
    <row r="80">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row>
    <row r="81">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row>
    <row r="82">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row>
    <row r="83">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row>
    <row r="84">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row>
    <row r="85">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row>
    <row r="86">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row>
    <row r="87">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row>
    <row r="88">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row>
    <row r="89">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row>
    <row r="90">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row>
    <row r="91">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row>
    <row r="92">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row>
    <row r="93">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row>
    <row r="94">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row>
    <row r="95">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row>
    <row r="96">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row>
    <row r="97">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row>
    <row r="98">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row>
    <row r="99">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row>
    <row r="100">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row>
    <row r="101">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row>
    <row r="102">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row>
    <row r="103">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row>
    <row r="104">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row>
    <row r="105">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row>
    <row r="106">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row>
    <row r="107">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row>
    <row r="108">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row>
    <row r="109">
      <c r="A109" s="50"/>
      <c r="B109" s="50"/>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row>
    <row r="110">
      <c r="A110" s="50"/>
      <c r="B110" s="50"/>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row>
    <row r="111">
      <c r="A111" s="50"/>
      <c r="B111" s="50"/>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row>
    <row r="112">
      <c r="A112" s="50"/>
      <c r="B112" s="50"/>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row>
    <row r="113">
      <c r="A113" s="50"/>
      <c r="B113" s="50"/>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row>
    <row r="114">
      <c r="A114" s="50"/>
      <c r="B114" s="50"/>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row>
    <row r="115">
      <c r="A115" s="50"/>
      <c r="B115" s="50"/>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row>
    <row r="116">
      <c r="A116" s="50"/>
      <c r="B116" s="50"/>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row>
    <row r="117">
      <c r="A117" s="50"/>
      <c r="B117" s="50"/>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row>
    <row r="118">
      <c r="A118" s="50"/>
      <c r="B118" s="50"/>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row>
    <row r="119">
      <c r="A119" s="50"/>
      <c r="B119" s="50"/>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row>
    <row r="120">
      <c r="A120" s="50"/>
      <c r="B120" s="50"/>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row>
    <row r="121">
      <c r="A121" s="50"/>
      <c r="B121" s="50"/>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row>
    <row r="122">
      <c r="A122" s="50"/>
      <c r="B122" s="50"/>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row>
    <row r="123">
      <c r="A123" s="50"/>
      <c r="B123" s="50"/>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row>
    <row r="124">
      <c r="A124" s="50"/>
      <c r="B124" s="50"/>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row>
    <row r="125">
      <c r="A125" s="50"/>
      <c r="B125" s="50"/>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row>
    <row r="126">
      <c r="A126" s="50"/>
      <c r="B126" s="50"/>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row>
    <row r="127">
      <c r="A127" s="50"/>
      <c r="B127" s="50"/>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row>
    <row r="128">
      <c r="A128" s="50"/>
      <c r="B128" s="50"/>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row>
    <row r="129">
      <c r="A129" s="50"/>
      <c r="B129" s="50"/>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row>
    <row r="130">
      <c r="A130" s="50"/>
      <c r="B130" s="50"/>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row>
    <row r="131">
      <c r="A131" s="50"/>
      <c r="B131" s="50"/>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row>
    <row r="132">
      <c r="A132" s="50"/>
      <c r="B132" s="50"/>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row>
    <row r="133">
      <c r="A133" s="50"/>
      <c r="B133" s="50"/>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row>
    <row r="134">
      <c r="A134" s="50"/>
      <c r="B134" s="50"/>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row>
    <row r="135">
      <c r="A135" s="50"/>
      <c r="B135" s="50"/>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row>
    <row r="136">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row>
    <row r="137">
      <c r="A137" s="50"/>
      <c r="B137" s="50"/>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row>
    <row r="138">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row>
    <row r="139">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row>
    <row r="140">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row>
    <row r="141">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row>
    <row r="142">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row>
    <row r="143">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row>
    <row r="144">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row>
    <row r="145">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row>
    <row r="146">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row>
    <row r="147">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row>
    <row r="148">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row>
    <row r="149">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row>
    <row r="150">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row>
    <row r="151">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row>
    <row r="152">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row>
    <row r="153">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row>
    <row r="154">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row>
    <row r="155">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row>
    <row r="156">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row>
    <row r="157">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row>
    <row r="158">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row>
    <row r="159">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row>
    <row r="160">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row>
    <row r="161">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row>
    <row r="162">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row>
    <row r="163">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row>
    <row r="164">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row>
    <row r="165">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row>
    <row r="166">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row>
    <row r="167">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row>
    <row r="168">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row>
    <row r="169">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row>
    <row r="170">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row>
    <row r="171">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row>
    <row r="172">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row>
    <row r="173">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row>
    <row r="174">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row>
    <row r="175">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row>
    <row r="176">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row>
    <row r="177">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row>
    <row r="178">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row>
    <row r="179">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row>
    <row r="180">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row>
    <row r="181">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row>
    <row r="182">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row>
    <row r="183">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row>
    <row r="184">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row>
    <row r="185">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row>
    <row r="186">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row>
    <row r="187">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row>
    <row r="188">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row>
    <row r="189">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row>
    <row r="190">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row>
    <row r="191">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row>
    <row r="192">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row>
    <row r="193">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row>
    <row r="194">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row>
    <row r="195">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row>
    <row r="196">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row>
    <row r="197">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row>
    <row r="198">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row>
    <row r="199">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row>
    <row r="200">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row>
    <row r="201">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row>
    <row r="202">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row>
    <row r="203">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row>
    <row r="204">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row>
    <row r="205">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row>
    <row r="206">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row>
    <row r="207">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row>
    <row r="208">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row>
    <row r="209">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row>
    <row r="210">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row>
    <row r="211">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row>
    <row r="212">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row>
    <row r="213">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row>
    <row r="214">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row>
    <row r="215">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row>
    <row r="216">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row>
    <row r="217">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row>
    <row r="218">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row>
    <row r="219">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row>
    <row r="220">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row>
    <row r="221">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row>
    <row r="222">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row>
    <row r="223">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row>
    <row r="224">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row>
    <row r="225">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row>
    <row r="226">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row>
    <row r="227">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row>
    <row r="228">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row>
    <row r="229">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row>
    <row r="230">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row>
    <row r="231">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row>
    <row r="232">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row>
    <row r="233">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row>
    <row r="234">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row>
    <row r="235">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row>
    <row r="236">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row>
    <row r="237">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row>
    <row r="238">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row>
    <row r="239">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row>
    <row r="240">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row>
    <row r="241">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row>
    <row r="242">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row>
    <row r="243">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row>
    <row r="244">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row>
    <row r="245">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row>
    <row r="246">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row>
    <row r="247">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row>
    <row r="248">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row>
    <row r="249">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row>
    <row r="250">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row>
    <row r="251">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row>
    <row r="252">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row>
    <row r="253">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row>
    <row r="254">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row>
    <row r="255">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row>
    <row r="256">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row>
    <row r="257">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row>
    <row r="258">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row>
    <row r="259">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row>
    <row r="260">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row>
    <row r="261">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row>
    <row r="262">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row>
    <row r="263">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row>
    <row r="264">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row>
    <row r="265">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row>
    <row r="266">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row>
    <row r="267">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row>
    <row r="268">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row>
    <row r="269">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row>
    <row r="270">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row>
    <row r="271">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row>
    <row r="272">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row>
    <row r="273">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row>
    <row r="274">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row>
    <row r="275">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row>
    <row r="276">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row>
    <row r="277">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row>
    <row r="278">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row>
    <row r="279">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row>
    <row r="280">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row>
    <row r="281">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row>
    <row r="282">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row>
    <row r="283">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row>
    <row r="284">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row>
    <row r="285">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row>
    <row r="286">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row>
    <row r="287">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row>
    <row r="288">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row>
    <row r="289">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row>
    <row r="290">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row>
    <row r="291">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row>
    <row r="292">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row>
    <row r="293">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row>
    <row r="294">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row>
    <row r="295">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row>
    <row r="296">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row>
    <row r="297">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row>
    <row r="298">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row>
    <row r="299">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row>
    <row r="300">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row>
    <row r="301">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row>
    <row r="302">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row>
    <row r="303">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row>
    <row r="304">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row>
    <row r="305">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row>
    <row r="306">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row>
    <row r="307">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row>
    <row r="308">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row>
    <row r="309">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row>
    <row r="310">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row>
    <row r="311">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row>
    <row r="312">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row>
    <row r="313">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row>
    <row r="314">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row>
    <row r="315">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row>
    <row r="316">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row>
    <row r="317">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row>
    <row r="318">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row>
    <row r="319">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row>
    <row r="320">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row>
    <row r="321">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row>
    <row r="322">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row>
    <row r="323">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row>
    <row r="324">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row>
    <row r="325">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row>
    <row r="326">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row>
    <row r="327">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row>
    <row r="328">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row>
    <row r="329">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row>
    <row r="330">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row>
    <row r="331">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row>
    <row r="332">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row>
    <row r="333">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row>
    <row r="334">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row>
    <row r="335">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row>
    <row r="336">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row>
    <row r="337">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row>
    <row r="338">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row>
    <row r="339">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row>
    <row r="340">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row>
    <row r="341">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row>
    <row r="342">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row>
    <row r="343">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row>
    <row r="344">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row>
    <row r="345">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row>
    <row r="346">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row>
    <row r="347">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row>
    <row r="348">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row>
    <row r="349">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row>
    <row r="350">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row>
    <row r="351">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row>
    <row r="352">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row>
    <row r="353">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row>
    <row r="354">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row>
    <row r="355">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row>
    <row r="356">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row>
    <row r="357">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row>
    <row r="358">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row>
    <row r="359">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row>
    <row r="360">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row>
    <row r="361">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row>
    <row r="362">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row>
    <row r="363">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row>
    <row r="364">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row>
    <row r="365">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row>
    <row r="366">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row>
    <row r="367">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row>
    <row r="368">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row>
    <row r="369">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row>
    <row r="370">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row>
    <row r="371">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row>
    <row r="372">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row>
    <row r="373">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row>
    <row r="374">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row>
    <row r="375">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row>
    <row r="376">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row>
    <row r="377">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row>
    <row r="378">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row>
    <row r="379">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row>
    <row r="380">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row>
    <row r="381">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row>
    <row r="382">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row>
    <row r="383">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row>
    <row r="384">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row>
    <row r="385">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row>
    <row r="386">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row>
    <row r="387">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row>
    <row r="388">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row>
    <row r="389">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row>
    <row r="390">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row>
    <row r="391">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row>
    <row r="392">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row>
    <row r="393">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row>
    <row r="394">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row>
    <row r="395">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row>
    <row r="396">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row>
    <row r="397">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row>
    <row r="398">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row>
    <row r="399">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row>
    <row r="400">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row>
    <row r="401">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row>
    <row r="402">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row>
    <row r="403">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row>
    <row r="404">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row>
    <row r="405">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row>
    <row r="406">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row>
    <row r="407">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row>
    <row r="408">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row>
    <row r="409">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row>
    <row r="410">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row>
    <row r="411">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row>
    <row r="412">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row>
    <row r="413">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row>
    <row r="414">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row>
    <row r="415">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row>
    <row r="416">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row>
    <row r="417">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row>
    <row r="418">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row>
    <row r="419">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row>
    <row r="420">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row>
    <row r="421">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row>
    <row r="422">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row>
    <row r="423">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row>
    <row r="424">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row>
    <row r="425">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row>
    <row r="426">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row>
    <row r="427">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row>
    <row r="428">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row>
    <row r="429">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row>
    <row r="430">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row>
    <row r="431">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row>
    <row r="432">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row>
    <row r="433">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row>
    <row r="434">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row>
    <row r="435">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row>
    <row r="436">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row>
    <row r="437">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row>
    <row r="438">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row>
    <row r="439">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row>
    <row r="440">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row>
    <row r="441">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row>
    <row r="442">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row>
    <row r="443">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row>
    <row r="444">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row>
    <row r="445">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row>
    <row r="446">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row>
    <row r="447">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row>
    <row r="448">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row>
    <row r="449">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row>
    <row r="450">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row>
    <row r="451">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row>
    <row r="452">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row>
    <row r="453">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row>
    <row r="454">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row>
    <row r="455">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row>
    <row r="456">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row>
    <row r="457">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row>
    <row r="458">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row>
    <row r="459">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row>
    <row r="460">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row>
    <row r="461">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row>
    <row r="462">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row>
    <row r="463">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row>
    <row r="464">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row>
    <row r="465">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row>
    <row r="466">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row>
    <row r="467">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row>
    <row r="468">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row>
    <row r="469">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row>
    <row r="470">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row>
    <row r="471">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row>
    <row r="472">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row>
    <row r="473">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row>
    <row r="474">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row>
    <row r="475">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row>
    <row r="476">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row>
    <row r="477">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row>
    <row r="478">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row>
    <row r="479">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row>
    <row r="480">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row>
    <row r="481">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row>
    <row r="482">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row>
    <row r="483">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row>
    <row r="484">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row>
    <row r="485">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row>
    <row r="486">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row>
    <row r="487">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row>
    <row r="488">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row>
    <row r="489">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row>
    <row r="490">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row>
    <row r="491">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row>
    <row r="492">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row>
    <row r="493">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row>
    <row r="494">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row>
    <row r="495">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row>
    <row r="496">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row>
    <row r="497">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row>
    <row r="498">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row>
    <row r="499">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row>
    <row r="500">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row>
    <row r="501">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row>
    <row r="502">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row>
    <row r="503">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row>
    <row r="504">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row>
    <row r="505">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row>
    <row r="506">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row>
    <row r="507">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row>
    <row r="508">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row>
    <row r="509">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row>
    <row r="510">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row>
    <row r="511">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row>
    <row r="512">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row>
    <row r="513">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row>
    <row r="514">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row>
    <row r="515">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row>
    <row r="516">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row>
    <row r="517">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row>
    <row r="518">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row>
    <row r="519">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row>
    <row r="520">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row>
    <row r="521">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row>
    <row r="522">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row>
    <row r="523">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row>
    <row r="524">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row>
    <row r="525">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row>
    <row r="526">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row>
    <row r="527">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row>
    <row r="528">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row>
    <row r="529">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row>
    <row r="530">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row>
    <row r="531">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row>
    <row r="532">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row>
    <row r="533">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row>
    <row r="534">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row>
    <row r="535">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row>
    <row r="536">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row>
    <row r="537">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row>
    <row r="538">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row>
    <row r="539">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row>
    <row r="540">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row>
    <row r="541">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row>
    <row r="542">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row>
    <row r="543">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row>
    <row r="544">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row>
    <row r="545">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row>
    <row r="546">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row>
    <row r="547">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row>
    <row r="548">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row>
    <row r="549">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row>
    <row r="550">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row>
    <row r="551">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row>
    <row r="552">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row>
    <row r="553">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row>
    <row r="554">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row>
    <row r="555">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row>
    <row r="556">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row>
    <row r="557">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row>
    <row r="558">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row>
    <row r="559">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row>
    <row r="560">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row>
    <row r="561">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row>
    <row r="562">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row>
    <row r="563">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row>
    <row r="564">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row>
    <row r="565">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row>
    <row r="566">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row>
    <row r="567">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row>
    <row r="568">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row>
    <row r="569">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row>
    <row r="570">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row>
    <row r="571">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row>
    <row r="572">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row>
    <row r="573">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row>
    <row r="574">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row>
    <row r="575">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row>
    <row r="576">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row>
    <row r="577">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row>
    <row r="578">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row>
    <row r="579">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row>
    <row r="580">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row>
    <row r="581">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row>
    <row r="582">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row>
    <row r="583">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row>
    <row r="584">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row>
    <row r="585">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row>
    <row r="586">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row>
    <row r="587">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row>
    <row r="588">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row>
    <row r="589">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row>
    <row r="590">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row>
    <row r="591">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row>
    <row r="592">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row>
    <row r="593">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row>
    <row r="594">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row>
    <row r="595">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row>
    <row r="596">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row>
    <row r="597">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row>
    <row r="598">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row>
    <row r="599">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row>
    <row r="600">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row>
    <row r="601">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row>
    <row r="602">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row>
    <row r="603">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row>
    <row r="604">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row>
    <row r="605">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row>
    <row r="606">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row>
    <row r="607">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row>
    <row r="608">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row>
    <row r="609">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row>
    <row r="610">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row>
    <row r="611">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row>
    <row r="612">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row>
    <row r="613">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row>
    <row r="614">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row>
    <row r="615">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row>
    <row r="616">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row>
    <row r="617">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row>
    <row r="618">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row>
    <row r="619">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row>
    <row r="620">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row>
    <row r="621">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row>
    <row r="622">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row>
    <row r="623">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row>
    <row r="624">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row>
    <row r="625">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row>
    <row r="626">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row>
    <row r="627">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row>
    <row r="628">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row>
    <row r="629">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row>
    <row r="630">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row>
    <row r="631">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row>
    <row r="632">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row>
    <row r="633">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row>
    <row r="634">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row>
    <row r="635">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row>
    <row r="636">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row>
    <row r="637">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row>
    <row r="638">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row>
    <row r="639">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row>
    <row r="640">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row>
    <row r="641">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row>
    <row r="642">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row>
    <row r="643">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row>
    <row r="644">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row>
    <row r="645">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row>
    <row r="646">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row>
    <row r="647">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row>
    <row r="648">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row>
    <row r="649">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row>
    <row r="650">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row>
    <row r="651">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row>
    <row r="652">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row>
    <row r="653">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row>
    <row r="654">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row>
    <row r="655">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row>
    <row r="656">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row>
    <row r="657">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row>
    <row r="658">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row>
    <row r="659">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row>
    <row r="660">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row>
    <row r="661">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row>
    <row r="662">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row>
    <row r="663">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row>
    <row r="664">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row>
    <row r="665">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row>
    <row r="666">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row>
    <row r="667">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row>
    <row r="668">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row>
    <row r="669">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row>
    <row r="670">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row>
    <row r="671">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row>
    <row r="672">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row>
    <row r="673">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row>
    <row r="674">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row>
    <row r="675">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row>
    <row r="676">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row>
    <row r="677">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row>
    <row r="678">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row>
    <row r="679">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row>
    <row r="680">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row>
    <row r="681">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row>
    <row r="682">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row>
    <row r="683">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row>
    <row r="684">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row>
    <row r="685">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row>
    <row r="686">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row>
    <row r="687">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row>
    <row r="688">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row>
    <row r="689">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row>
    <row r="690">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row>
    <row r="691">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row>
    <row r="692">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row>
    <row r="693">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row>
    <row r="694">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row>
    <row r="695">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row>
    <row r="696">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row>
    <row r="697">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row>
    <row r="698">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row>
    <row r="699">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row>
    <row r="700">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row>
    <row r="701">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row>
    <row r="702">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row>
    <row r="703">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row>
    <row r="704">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row>
    <row r="705">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row>
    <row r="706">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row>
    <row r="707">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row>
    <row r="708">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row>
    <row r="709">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row>
    <row r="710">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row>
    <row r="711">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row>
    <row r="712">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row>
    <row r="713">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row>
    <row r="714">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row>
    <row r="715">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row>
    <row r="716">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row>
    <row r="717">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row>
    <row r="718">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row>
    <row r="719">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row>
    <row r="720">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row>
    <row r="721">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row>
    <row r="722">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row>
    <row r="723">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row>
    <row r="724">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row>
    <row r="725">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row>
    <row r="726">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row>
    <row r="727">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row>
    <row r="728">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row>
    <row r="729">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row>
    <row r="730">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row>
    <row r="731">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row>
    <row r="732">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row>
    <row r="733">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row>
    <row r="734">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row>
    <row r="735">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row>
    <row r="736">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row>
    <row r="737">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row>
    <row r="738">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row>
    <row r="739">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row>
    <row r="740">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row>
    <row r="741">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row>
    <row r="742">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row>
    <row r="743">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row>
    <row r="744">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row>
    <row r="745">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row>
    <row r="746">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row>
    <row r="747">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row>
    <row r="748">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row>
    <row r="749">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row>
    <row r="750">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row>
    <row r="751">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row>
    <row r="752">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row>
    <row r="753">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row>
    <row r="754">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row>
    <row r="755">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row>
    <row r="756">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row>
    <row r="757">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row>
    <row r="758">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row>
    <row r="759">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row>
    <row r="760">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row>
    <row r="761">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row>
    <row r="762">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row>
    <row r="763">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row>
    <row r="764">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row>
    <row r="765">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row>
    <row r="766">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row>
    <row r="767">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row>
    <row r="768">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row>
    <row r="769">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row>
    <row r="770">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row>
    <row r="771">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row>
    <row r="772">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row>
    <row r="773">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row>
    <row r="774">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row>
    <row r="775">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row>
    <row r="776">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row>
    <row r="777">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row>
    <row r="778">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row>
    <row r="779">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row>
    <row r="780">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row>
    <row r="781">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row>
    <row r="782">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row>
    <row r="783">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row>
    <row r="784">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row>
    <row r="785">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row>
    <row r="786">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row>
    <row r="787">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row>
    <row r="788">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row>
    <row r="789">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row>
    <row r="790">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row>
    <row r="791">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row>
    <row r="792">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row>
    <row r="793">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row>
    <row r="794">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row>
    <row r="795">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row>
    <row r="796">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row>
    <row r="797">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row>
    <row r="798">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row>
    <row r="799">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row>
    <row r="800">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row>
    <row r="801">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row>
    <row r="802">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row>
    <row r="803">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row>
    <row r="804">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row>
    <row r="805">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row>
    <row r="806">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row>
    <row r="807">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row>
    <row r="808">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row>
    <row r="809">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row>
    <row r="810">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row>
    <row r="811">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row>
    <row r="812">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row>
    <row r="813">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row>
    <row r="814">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row>
    <row r="815">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row>
    <row r="816">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row>
    <row r="817">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row>
    <row r="818">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row>
    <row r="819">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row>
    <row r="820">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row>
    <row r="821">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row>
    <row r="822">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row>
    <row r="823">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row>
    <row r="824">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row>
    <row r="825">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row>
    <row r="826">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row>
    <row r="827">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row>
    <row r="828">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row>
    <row r="829">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row>
    <row r="830">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row>
    <row r="831">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row>
    <row r="832">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row>
    <row r="833">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row>
    <row r="834">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row>
    <row r="835">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row>
    <row r="836">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row>
    <row r="837">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row>
    <row r="838">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row>
    <row r="839">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row>
    <row r="840">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row>
    <row r="841">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row>
    <row r="842">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row>
    <row r="843">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row>
    <row r="844">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row>
    <row r="845">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row>
    <row r="846">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row>
    <row r="847">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row>
    <row r="848">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row>
    <row r="849">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row>
    <row r="850">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row>
    <row r="851">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row>
    <row r="852">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row>
    <row r="853">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row>
    <row r="854">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row>
    <row r="855">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row>
    <row r="856">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row>
    <row r="857">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row>
    <row r="858">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row>
    <row r="859">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row>
    <row r="860">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row>
    <row r="861">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row>
    <row r="862">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row>
    <row r="863">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row>
    <row r="864">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row>
    <row r="865">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row>
    <row r="866">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row>
    <row r="867">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row>
    <row r="868">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row>
    <row r="869">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row>
    <row r="870">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row>
    <row r="871">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row>
    <row r="872">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row>
    <row r="873">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row>
    <row r="874">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row>
    <row r="875">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row>
    <row r="876">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row>
    <row r="877">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row>
    <row r="878">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row>
    <row r="879">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row>
    <row r="880">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row>
    <row r="881">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row>
    <row r="882">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row>
    <row r="883">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row>
    <row r="884">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row>
    <row r="885">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row>
    <row r="886">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row>
    <row r="887">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row>
    <row r="888">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row>
    <row r="889">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row>
    <row r="890">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row>
    <row r="891">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row>
    <row r="892">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row>
    <row r="893">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row>
    <row r="894">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row>
    <row r="895">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row>
    <row r="896">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row>
    <row r="897">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row>
    <row r="898">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row>
    <row r="899">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row>
    <row r="900">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row>
    <row r="901">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row>
    <row r="902">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row>
    <row r="903">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row>
    <row r="904">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row>
    <row r="905">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row>
    <row r="906">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row>
    <row r="907">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row>
    <row r="908">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row>
    <row r="909">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row>
    <row r="910">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row>
    <row r="911">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row>
    <row r="912">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row>
    <row r="913">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row>
    <row r="914">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row>
    <row r="915">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row>
    <row r="916">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row>
    <row r="917">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row>
    <row r="918">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row>
    <row r="919">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row>
    <row r="920">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row>
    <row r="921">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row>
    <row r="922">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row>
    <row r="923">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row>
    <row r="924">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row>
    <row r="925">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row>
    <row r="926">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row>
    <row r="927">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row>
    <row r="928">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row>
    <row r="929">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row>
    <row r="930">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row>
    <row r="931">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row>
    <row r="932">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row>
    <row r="933">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row>
    <row r="934">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row>
    <row r="935">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row>
    <row r="936">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row>
    <row r="937">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row>
    <row r="938">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row>
    <row r="939">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row>
    <row r="940">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row>
    <row r="941">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row>
    <row r="942">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row>
    <row r="943">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row>
    <row r="944">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row>
    <row r="945">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row>
    <row r="946">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row>
    <row r="947">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row>
    <row r="948">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row>
    <row r="949">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row>
    <row r="950">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row>
    <row r="951">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row>
    <row r="952">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row>
    <row r="953">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row>
    <row r="954">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row>
    <row r="955">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row>
    <row r="956">
      <c r="A956" s="50"/>
      <c r="B956" s="50"/>
      <c r="C956" s="50"/>
      <c r="D956" s="50"/>
      <c r="E956" s="50"/>
      <c r="F956" s="50"/>
      <c r="G956" s="50"/>
      <c r="H956" s="50"/>
      <c r="I956" s="50"/>
      <c r="J956" s="50"/>
      <c r="K956" s="50"/>
      <c r="L956" s="50"/>
      <c r="M956" s="50"/>
      <c r="N956" s="50"/>
      <c r="O956" s="50"/>
      <c r="P956" s="50"/>
      <c r="Q956" s="50"/>
      <c r="R956" s="50"/>
      <c r="S956" s="50"/>
      <c r="T956" s="50"/>
      <c r="U956" s="50"/>
      <c r="V956" s="50"/>
      <c r="W956" s="50"/>
      <c r="X956" s="50"/>
      <c r="Y956" s="50"/>
      <c r="Z956" s="50"/>
    </row>
    <row r="957">
      <c r="A957" s="50"/>
      <c r="B957" s="50"/>
      <c r="C957" s="50"/>
      <c r="D957" s="50"/>
      <c r="E957" s="50"/>
      <c r="F957" s="50"/>
      <c r="G957" s="50"/>
      <c r="H957" s="50"/>
      <c r="I957" s="50"/>
      <c r="J957" s="50"/>
      <c r="K957" s="50"/>
      <c r="L957" s="50"/>
      <c r="M957" s="50"/>
      <c r="N957" s="50"/>
      <c r="O957" s="50"/>
      <c r="P957" s="50"/>
      <c r="Q957" s="50"/>
      <c r="R957" s="50"/>
      <c r="S957" s="50"/>
      <c r="T957" s="50"/>
      <c r="U957" s="50"/>
      <c r="V957" s="50"/>
      <c r="W957" s="50"/>
      <c r="X957" s="50"/>
      <c r="Y957" s="50"/>
      <c r="Z957" s="50"/>
    </row>
    <row r="958">
      <c r="A958" s="50"/>
      <c r="B958" s="50"/>
      <c r="C958" s="50"/>
      <c r="D958" s="50"/>
      <c r="E958" s="50"/>
      <c r="F958" s="50"/>
      <c r="G958" s="50"/>
      <c r="H958" s="50"/>
      <c r="I958" s="50"/>
      <c r="J958" s="50"/>
      <c r="K958" s="50"/>
      <c r="L958" s="50"/>
      <c r="M958" s="50"/>
      <c r="N958" s="50"/>
      <c r="O958" s="50"/>
      <c r="P958" s="50"/>
      <c r="Q958" s="50"/>
      <c r="R958" s="50"/>
      <c r="S958" s="50"/>
      <c r="T958" s="50"/>
      <c r="U958" s="50"/>
      <c r="V958" s="50"/>
      <c r="W958" s="50"/>
      <c r="X958" s="50"/>
      <c r="Y958" s="50"/>
      <c r="Z958" s="50"/>
    </row>
    <row r="959">
      <c r="A959" s="50"/>
      <c r="B959" s="50"/>
      <c r="C959" s="50"/>
      <c r="D959" s="50"/>
      <c r="E959" s="50"/>
      <c r="F959" s="50"/>
      <c r="G959" s="50"/>
      <c r="H959" s="50"/>
      <c r="I959" s="50"/>
      <c r="J959" s="50"/>
      <c r="K959" s="50"/>
      <c r="L959" s="50"/>
      <c r="M959" s="50"/>
      <c r="N959" s="50"/>
      <c r="O959" s="50"/>
      <c r="P959" s="50"/>
      <c r="Q959" s="50"/>
      <c r="R959" s="50"/>
      <c r="S959" s="50"/>
      <c r="T959" s="50"/>
      <c r="U959" s="50"/>
      <c r="V959" s="50"/>
      <c r="W959" s="50"/>
      <c r="X959" s="50"/>
      <c r="Y959" s="50"/>
      <c r="Z959" s="50"/>
    </row>
    <row r="960">
      <c r="A960" s="50"/>
      <c r="B960" s="50"/>
      <c r="C960" s="50"/>
      <c r="D960" s="50"/>
      <c r="E960" s="50"/>
      <c r="F960" s="50"/>
      <c r="G960" s="50"/>
      <c r="H960" s="50"/>
      <c r="I960" s="50"/>
      <c r="J960" s="50"/>
      <c r="K960" s="50"/>
      <c r="L960" s="50"/>
      <c r="M960" s="50"/>
      <c r="N960" s="50"/>
      <c r="O960" s="50"/>
      <c r="P960" s="50"/>
      <c r="Q960" s="50"/>
      <c r="R960" s="50"/>
      <c r="S960" s="50"/>
      <c r="T960" s="50"/>
      <c r="U960" s="50"/>
      <c r="V960" s="50"/>
      <c r="W960" s="50"/>
      <c r="X960" s="50"/>
      <c r="Y960" s="50"/>
      <c r="Z960" s="50"/>
    </row>
    <row r="961">
      <c r="A961" s="50"/>
      <c r="B961" s="50"/>
      <c r="C961" s="50"/>
      <c r="D961" s="50"/>
      <c r="E961" s="50"/>
      <c r="F961" s="50"/>
      <c r="G961" s="50"/>
      <c r="H961" s="50"/>
      <c r="I961" s="50"/>
      <c r="J961" s="50"/>
      <c r="K961" s="50"/>
      <c r="L961" s="50"/>
      <c r="M961" s="50"/>
      <c r="N961" s="50"/>
      <c r="O961" s="50"/>
      <c r="P961" s="50"/>
      <c r="Q961" s="50"/>
      <c r="R961" s="50"/>
      <c r="S961" s="50"/>
      <c r="T961" s="50"/>
      <c r="U961" s="50"/>
      <c r="V961" s="50"/>
      <c r="W961" s="50"/>
      <c r="X961" s="50"/>
      <c r="Y961" s="50"/>
      <c r="Z961" s="50"/>
    </row>
    <row r="962">
      <c r="A962" s="50"/>
      <c r="B962" s="50"/>
      <c r="C962" s="50"/>
      <c r="D962" s="50"/>
      <c r="E962" s="50"/>
      <c r="F962" s="50"/>
      <c r="G962" s="50"/>
      <c r="H962" s="50"/>
      <c r="I962" s="50"/>
      <c r="J962" s="50"/>
      <c r="K962" s="50"/>
      <c r="L962" s="50"/>
      <c r="M962" s="50"/>
      <c r="N962" s="50"/>
      <c r="O962" s="50"/>
      <c r="P962" s="50"/>
      <c r="Q962" s="50"/>
      <c r="R962" s="50"/>
      <c r="S962" s="50"/>
      <c r="T962" s="50"/>
      <c r="U962" s="50"/>
      <c r="V962" s="50"/>
      <c r="W962" s="50"/>
      <c r="X962" s="50"/>
      <c r="Y962" s="50"/>
      <c r="Z962" s="50"/>
    </row>
    <row r="963">
      <c r="A963" s="50"/>
      <c r="B963" s="50"/>
      <c r="C963" s="50"/>
      <c r="D963" s="50"/>
      <c r="E963" s="50"/>
      <c r="F963" s="50"/>
      <c r="G963" s="50"/>
      <c r="H963" s="50"/>
      <c r="I963" s="50"/>
      <c r="J963" s="50"/>
      <c r="K963" s="50"/>
      <c r="L963" s="50"/>
      <c r="M963" s="50"/>
      <c r="N963" s="50"/>
      <c r="O963" s="50"/>
      <c r="P963" s="50"/>
      <c r="Q963" s="50"/>
      <c r="R963" s="50"/>
      <c r="S963" s="50"/>
      <c r="T963" s="50"/>
      <c r="U963" s="50"/>
      <c r="V963" s="50"/>
      <c r="W963" s="50"/>
      <c r="X963" s="50"/>
      <c r="Y963" s="50"/>
      <c r="Z963" s="50"/>
    </row>
    <row r="964">
      <c r="A964" s="50"/>
      <c r="B964" s="50"/>
      <c r="C964" s="50"/>
      <c r="D964" s="50"/>
      <c r="E964" s="50"/>
      <c r="F964" s="50"/>
      <c r="G964" s="50"/>
      <c r="H964" s="50"/>
      <c r="I964" s="50"/>
      <c r="J964" s="50"/>
      <c r="K964" s="50"/>
      <c r="L964" s="50"/>
      <c r="M964" s="50"/>
      <c r="N964" s="50"/>
      <c r="O964" s="50"/>
      <c r="P964" s="50"/>
      <c r="Q964" s="50"/>
      <c r="R964" s="50"/>
      <c r="S964" s="50"/>
      <c r="T964" s="50"/>
      <c r="U964" s="50"/>
      <c r="V964" s="50"/>
      <c r="W964" s="50"/>
      <c r="X964" s="50"/>
      <c r="Y964" s="50"/>
      <c r="Z964" s="50"/>
    </row>
    <row r="965">
      <c r="A965" s="50"/>
      <c r="B965" s="50"/>
      <c r="C965" s="50"/>
      <c r="D965" s="50"/>
      <c r="E965" s="50"/>
      <c r="F965" s="50"/>
      <c r="G965" s="50"/>
      <c r="H965" s="50"/>
      <c r="I965" s="50"/>
      <c r="J965" s="50"/>
      <c r="K965" s="50"/>
      <c r="L965" s="50"/>
      <c r="M965" s="50"/>
      <c r="N965" s="50"/>
      <c r="O965" s="50"/>
      <c r="P965" s="50"/>
      <c r="Q965" s="50"/>
      <c r="R965" s="50"/>
      <c r="S965" s="50"/>
      <c r="T965" s="50"/>
      <c r="U965" s="50"/>
      <c r="V965" s="50"/>
      <c r="W965" s="50"/>
      <c r="X965" s="50"/>
      <c r="Y965" s="50"/>
      <c r="Z965" s="50"/>
    </row>
    <row r="966">
      <c r="A966" s="50"/>
      <c r="B966" s="50"/>
      <c r="C966" s="50"/>
      <c r="D966" s="50"/>
      <c r="E966" s="50"/>
      <c r="F966" s="50"/>
      <c r="G966" s="50"/>
      <c r="H966" s="50"/>
      <c r="I966" s="50"/>
      <c r="J966" s="50"/>
      <c r="K966" s="50"/>
      <c r="L966" s="50"/>
      <c r="M966" s="50"/>
      <c r="N966" s="50"/>
      <c r="O966" s="50"/>
      <c r="P966" s="50"/>
      <c r="Q966" s="50"/>
      <c r="R966" s="50"/>
      <c r="S966" s="50"/>
      <c r="T966" s="50"/>
      <c r="U966" s="50"/>
      <c r="V966" s="50"/>
      <c r="W966" s="50"/>
      <c r="X966" s="50"/>
      <c r="Y966" s="50"/>
      <c r="Z966" s="50"/>
    </row>
    <row r="967">
      <c r="A967" s="50"/>
      <c r="B967" s="50"/>
      <c r="C967" s="50"/>
      <c r="D967" s="50"/>
      <c r="E967" s="50"/>
      <c r="F967" s="50"/>
      <c r="G967" s="50"/>
      <c r="H967" s="50"/>
      <c r="I967" s="50"/>
      <c r="J967" s="50"/>
      <c r="K967" s="50"/>
      <c r="L967" s="50"/>
      <c r="M967" s="50"/>
      <c r="N967" s="50"/>
      <c r="O967" s="50"/>
      <c r="P967" s="50"/>
      <c r="Q967" s="50"/>
      <c r="R967" s="50"/>
      <c r="S967" s="50"/>
      <c r="T967" s="50"/>
      <c r="U967" s="50"/>
      <c r="V967" s="50"/>
      <c r="W967" s="50"/>
      <c r="X967" s="50"/>
      <c r="Y967" s="50"/>
      <c r="Z967" s="50"/>
    </row>
    <row r="968">
      <c r="A968" s="50"/>
      <c r="B968" s="50"/>
      <c r="C968" s="50"/>
      <c r="D968" s="50"/>
      <c r="E968" s="50"/>
      <c r="F968" s="50"/>
      <c r="G968" s="50"/>
      <c r="H968" s="50"/>
      <c r="I968" s="50"/>
      <c r="J968" s="50"/>
      <c r="K968" s="50"/>
      <c r="L968" s="50"/>
      <c r="M968" s="50"/>
      <c r="N968" s="50"/>
      <c r="O968" s="50"/>
      <c r="P968" s="50"/>
      <c r="Q968" s="50"/>
      <c r="R968" s="50"/>
      <c r="S968" s="50"/>
      <c r="T968" s="50"/>
      <c r="U968" s="50"/>
      <c r="V968" s="50"/>
      <c r="W968" s="50"/>
      <c r="X968" s="50"/>
      <c r="Y968" s="50"/>
      <c r="Z968" s="50"/>
    </row>
    <row r="969">
      <c r="A969" s="50"/>
      <c r="B969" s="50"/>
      <c r="C969" s="50"/>
      <c r="D969" s="50"/>
      <c r="E969" s="50"/>
      <c r="F969" s="50"/>
      <c r="G969" s="50"/>
      <c r="H969" s="50"/>
      <c r="I969" s="50"/>
      <c r="J969" s="50"/>
      <c r="K969" s="50"/>
      <c r="L969" s="50"/>
      <c r="M969" s="50"/>
      <c r="N969" s="50"/>
      <c r="O969" s="50"/>
      <c r="P969" s="50"/>
      <c r="Q969" s="50"/>
      <c r="R969" s="50"/>
      <c r="S969" s="50"/>
      <c r="T969" s="50"/>
      <c r="U969" s="50"/>
      <c r="V969" s="50"/>
      <c r="W969" s="50"/>
      <c r="X969" s="50"/>
      <c r="Y969" s="50"/>
      <c r="Z969" s="50"/>
    </row>
    <row r="970">
      <c r="A970" s="50"/>
      <c r="B970" s="50"/>
      <c r="C970" s="50"/>
      <c r="D970" s="50"/>
      <c r="E970" s="50"/>
      <c r="F970" s="50"/>
      <c r="G970" s="50"/>
      <c r="H970" s="50"/>
      <c r="I970" s="50"/>
      <c r="J970" s="50"/>
      <c r="K970" s="50"/>
      <c r="L970" s="50"/>
      <c r="M970" s="50"/>
      <c r="N970" s="50"/>
      <c r="O970" s="50"/>
      <c r="P970" s="50"/>
      <c r="Q970" s="50"/>
      <c r="R970" s="50"/>
      <c r="S970" s="50"/>
      <c r="T970" s="50"/>
      <c r="U970" s="50"/>
      <c r="V970" s="50"/>
      <c r="W970" s="50"/>
      <c r="X970" s="50"/>
      <c r="Y970" s="50"/>
      <c r="Z970" s="50"/>
    </row>
    <row r="971">
      <c r="A971" s="50"/>
      <c r="B971" s="50"/>
      <c r="C971" s="50"/>
      <c r="D971" s="50"/>
      <c r="E971" s="50"/>
      <c r="F971" s="50"/>
      <c r="G971" s="50"/>
      <c r="H971" s="50"/>
      <c r="I971" s="50"/>
      <c r="J971" s="50"/>
      <c r="K971" s="50"/>
      <c r="L971" s="50"/>
      <c r="M971" s="50"/>
      <c r="N971" s="50"/>
      <c r="O971" s="50"/>
      <c r="P971" s="50"/>
      <c r="Q971" s="50"/>
      <c r="R971" s="50"/>
      <c r="S971" s="50"/>
      <c r="T971" s="50"/>
      <c r="U971" s="50"/>
      <c r="V971" s="50"/>
      <c r="W971" s="50"/>
      <c r="X971" s="50"/>
      <c r="Y971" s="50"/>
      <c r="Z971" s="50"/>
    </row>
    <row r="972">
      <c r="A972" s="50"/>
      <c r="B972" s="50"/>
      <c r="C972" s="50"/>
      <c r="D972" s="50"/>
      <c r="E972" s="50"/>
      <c r="F972" s="50"/>
      <c r="G972" s="50"/>
      <c r="H972" s="50"/>
      <c r="I972" s="50"/>
      <c r="J972" s="50"/>
      <c r="K972" s="50"/>
      <c r="L972" s="50"/>
      <c r="M972" s="50"/>
      <c r="N972" s="50"/>
      <c r="O972" s="50"/>
      <c r="P972" s="50"/>
      <c r="Q972" s="50"/>
      <c r="R972" s="50"/>
      <c r="S972" s="50"/>
      <c r="T972" s="50"/>
      <c r="U972" s="50"/>
      <c r="V972" s="50"/>
      <c r="W972" s="50"/>
      <c r="X972" s="50"/>
      <c r="Y972" s="50"/>
      <c r="Z972" s="50"/>
    </row>
    <row r="973">
      <c r="A973" s="50"/>
      <c r="B973" s="50"/>
      <c r="C973" s="50"/>
      <c r="D973" s="50"/>
      <c r="E973" s="50"/>
      <c r="F973" s="50"/>
      <c r="G973" s="50"/>
      <c r="H973" s="50"/>
      <c r="I973" s="50"/>
      <c r="J973" s="50"/>
      <c r="K973" s="50"/>
      <c r="L973" s="50"/>
      <c r="M973" s="50"/>
      <c r="N973" s="50"/>
      <c r="O973" s="50"/>
      <c r="P973" s="50"/>
      <c r="Q973" s="50"/>
      <c r="R973" s="50"/>
      <c r="S973" s="50"/>
      <c r="T973" s="50"/>
      <c r="U973" s="50"/>
      <c r="V973" s="50"/>
      <c r="W973" s="50"/>
      <c r="X973" s="50"/>
      <c r="Y973" s="50"/>
      <c r="Z973" s="50"/>
    </row>
    <row r="974">
      <c r="A974" s="50"/>
      <c r="B974" s="50"/>
      <c r="C974" s="50"/>
      <c r="D974" s="50"/>
      <c r="E974" s="50"/>
      <c r="F974" s="50"/>
      <c r="G974" s="50"/>
      <c r="H974" s="50"/>
      <c r="I974" s="50"/>
      <c r="J974" s="50"/>
      <c r="K974" s="50"/>
      <c r="L974" s="50"/>
      <c r="M974" s="50"/>
      <c r="N974" s="50"/>
      <c r="O974" s="50"/>
      <c r="P974" s="50"/>
      <c r="Q974" s="50"/>
      <c r="R974" s="50"/>
      <c r="S974" s="50"/>
      <c r="T974" s="50"/>
      <c r="U974" s="50"/>
      <c r="V974" s="50"/>
      <c r="W974" s="50"/>
      <c r="X974" s="50"/>
      <c r="Y974" s="50"/>
      <c r="Z974" s="50"/>
    </row>
    <row r="975">
      <c r="A975" s="50"/>
      <c r="B975" s="50"/>
      <c r="C975" s="50"/>
      <c r="D975" s="50"/>
      <c r="E975" s="50"/>
      <c r="F975" s="50"/>
      <c r="G975" s="50"/>
      <c r="H975" s="50"/>
      <c r="I975" s="50"/>
      <c r="J975" s="50"/>
      <c r="K975" s="50"/>
      <c r="L975" s="50"/>
      <c r="M975" s="50"/>
      <c r="N975" s="50"/>
      <c r="O975" s="50"/>
      <c r="P975" s="50"/>
      <c r="Q975" s="50"/>
      <c r="R975" s="50"/>
      <c r="S975" s="50"/>
      <c r="T975" s="50"/>
      <c r="U975" s="50"/>
      <c r="V975" s="50"/>
      <c r="W975" s="50"/>
      <c r="X975" s="50"/>
      <c r="Y975" s="50"/>
      <c r="Z975" s="50"/>
    </row>
    <row r="976">
      <c r="A976" s="50"/>
      <c r="B976" s="50"/>
      <c r="C976" s="50"/>
      <c r="D976" s="50"/>
      <c r="E976" s="50"/>
      <c r="F976" s="50"/>
      <c r="G976" s="50"/>
      <c r="H976" s="50"/>
      <c r="I976" s="50"/>
      <c r="J976" s="50"/>
      <c r="K976" s="50"/>
      <c r="L976" s="50"/>
      <c r="M976" s="50"/>
      <c r="N976" s="50"/>
      <c r="O976" s="50"/>
      <c r="P976" s="50"/>
      <c r="Q976" s="50"/>
      <c r="R976" s="50"/>
      <c r="S976" s="50"/>
      <c r="T976" s="50"/>
      <c r="U976" s="50"/>
      <c r="V976" s="50"/>
      <c r="W976" s="50"/>
      <c r="X976" s="50"/>
      <c r="Y976" s="50"/>
      <c r="Z976" s="50"/>
    </row>
    <row r="977">
      <c r="A977" s="50"/>
      <c r="B977" s="50"/>
      <c r="C977" s="50"/>
      <c r="D977" s="50"/>
      <c r="E977" s="50"/>
      <c r="F977" s="50"/>
      <c r="G977" s="50"/>
      <c r="H977" s="50"/>
      <c r="I977" s="50"/>
      <c r="J977" s="50"/>
      <c r="K977" s="50"/>
      <c r="L977" s="50"/>
      <c r="M977" s="50"/>
      <c r="N977" s="50"/>
      <c r="O977" s="50"/>
      <c r="P977" s="50"/>
      <c r="Q977" s="50"/>
      <c r="R977" s="50"/>
      <c r="S977" s="50"/>
      <c r="T977" s="50"/>
      <c r="U977" s="50"/>
      <c r="V977" s="50"/>
      <c r="W977" s="50"/>
      <c r="X977" s="50"/>
      <c r="Y977" s="50"/>
      <c r="Z977" s="50"/>
    </row>
    <row r="978">
      <c r="A978" s="50"/>
      <c r="B978" s="50"/>
      <c r="C978" s="50"/>
      <c r="D978" s="50"/>
      <c r="E978" s="50"/>
      <c r="F978" s="50"/>
      <c r="G978" s="50"/>
      <c r="H978" s="50"/>
      <c r="I978" s="50"/>
      <c r="J978" s="50"/>
      <c r="K978" s="50"/>
      <c r="L978" s="50"/>
      <c r="M978" s="50"/>
      <c r="N978" s="50"/>
      <c r="O978" s="50"/>
      <c r="P978" s="50"/>
      <c r="Q978" s="50"/>
      <c r="R978" s="50"/>
      <c r="S978" s="50"/>
      <c r="T978" s="50"/>
      <c r="U978" s="50"/>
      <c r="V978" s="50"/>
      <c r="W978" s="50"/>
      <c r="X978" s="50"/>
      <c r="Y978" s="50"/>
      <c r="Z978" s="50"/>
    </row>
    <row r="979">
      <c r="A979" s="50"/>
      <c r="B979" s="50"/>
      <c r="C979" s="50"/>
      <c r="D979" s="50"/>
      <c r="E979" s="50"/>
      <c r="F979" s="50"/>
      <c r="G979" s="50"/>
      <c r="H979" s="50"/>
      <c r="I979" s="50"/>
      <c r="J979" s="50"/>
      <c r="K979" s="50"/>
      <c r="L979" s="50"/>
      <c r="M979" s="50"/>
      <c r="N979" s="50"/>
      <c r="O979" s="50"/>
      <c r="P979" s="50"/>
      <c r="Q979" s="50"/>
      <c r="R979" s="50"/>
      <c r="S979" s="50"/>
      <c r="T979" s="50"/>
      <c r="U979" s="50"/>
      <c r="V979" s="50"/>
      <c r="W979" s="50"/>
      <c r="X979" s="50"/>
      <c r="Y979" s="50"/>
      <c r="Z979" s="50"/>
    </row>
    <row r="980">
      <c r="A980" s="50"/>
      <c r="B980" s="50"/>
      <c r="C980" s="50"/>
      <c r="D980" s="50"/>
      <c r="E980" s="50"/>
      <c r="F980" s="50"/>
      <c r="G980" s="50"/>
      <c r="H980" s="50"/>
      <c r="I980" s="50"/>
      <c r="J980" s="50"/>
      <c r="K980" s="50"/>
      <c r="L980" s="50"/>
      <c r="M980" s="50"/>
      <c r="N980" s="50"/>
      <c r="O980" s="50"/>
      <c r="P980" s="50"/>
      <c r="Q980" s="50"/>
      <c r="R980" s="50"/>
      <c r="S980" s="50"/>
      <c r="T980" s="50"/>
      <c r="U980" s="50"/>
      <c r="V980" s="50"/>
      <c r="W980" s="50"/>
      <c r="X980" s="50"/>
      <c r="Y980" s="50"/>
      <c r="Z980" s="50"/>
    </row>
    <row r="981">
      <c r="A981" s="50"/>
      <c r="B981" s="50"/>
      <c r="C981" s="50"/>
      <c r="D981" s="50"/>
      <c r="E981" s="50"/>
      <c r="F981" s="50"/>
      <c r="G981" s="50"/>
      <c r="H981" s="50"/>
      <c r="I981" s="50"/>
      <c r="J981" s="50"/>
      <c r="K981" s="50"/>
      <c r="L981" s="50"/>
      <c r="M981" s="50"/>
      <c r="N981" s="50"/>
      <c r="O981" s="50"/>
      <c r="P981" s="50"/>
      <c r="Q981" s="50"/>
      <c r="R981" s="50"/>
      <c r="S981" s="50"/>
      <c r="T981" s="50"/>
      <c r="U981" s="50"/>
      <c r="V981" s="50"/>
      <c r="W981" s="50"/>
      <c r="X981" s="50"/>
      <c r="Y981" s="50"/>
      <c r="Z981" s="50"/>
    </row>
    <row r="982">
      <c r="A982" s="50"/>
      <c r="B982" s="50"/>
      <c r="C982" s="50"/>
      <c r="D982" s="50"/>
      <c r="E982" s="50"/>
      <c r="F982" s="50"/>
      <c r="G982" s="50"/>
      <c r="H982" s="50"/>
      <c r="I982" s="50"/>
      <c r="J982" s="50"/>
      <c r="K982" s="50"/>
      <c r="L982" s="50"/>
      <c r="M982" s="50"/>
      <c r="N982" s="50"/>
      <c r="O982" s="50"/>
      <c r="P982" s="50"/>
      <c r="Q982" s="50"/>
      <c r="R982" s="50"/>
      <c r="S982" s="50"/>
      <c r="T982" s="50"/>
      <c r="U982" s="50"/>
      <c r="V982" s="50"/>
      <c r="W982" s="50"/>
      <c r="X982" s="50"/>
      <c r="Y982" s="50"/>
      <c r="Z982" s="50"/>
    </row>
    <row r="983">
      <c r="A983" s="50"/>
      <c r="B983" s="50"/>
      <c r="C983" s="50"/>
      <c r="D983" s="50"/>
      <c r="E983" s="50"/>
      <c r="F983" s="50"/>
      <c r="G983" s="50"/>
      <c r="H983" s="50"/>
      <c r="I983" s="50"/>
      <c r="J983" s="50"/>
      <c r="K983" s="50"/>
      <c r="L983" s="50"/>
      <c r="M983" s="50"/>
      <c r="N983" s="50"/>
      <c r="O983" s="50"/>
      <c r="P983" s="50"/>
      <c r="Q983" s="50"/>
      <c r="R983" s="50"/>
      <c r="S983" s="50"/>
      <c r="T983" s="50"/>
      <c r="U983" s="50"/>
      <c r="V983" s="50"/>
      <c r="W983" s="50"/>
      <c r="X983" s="50"/>
      <c r="Y983" s="50"/>
      <c r="Z983" s="50"/>
    </row>
    <row r="984">
      <c r="A984" s="50"/>
      <c r="B984" s="50"/>
      <c r="C984" s="50"/>
      <c r="D984" s="50"/>
      <c r="E984" s="50"/>
      <c r="F984" s="50"/>
      <c r="G984" s="50"/>
      <c r="H984" s="50"/>
      <c r="I984" s="50"/>
      <c r="J984" s="50"/>
      <c r="K984" s="50"/>
      <c r="L984" s="50"/>
      <c r="M984" s="50"/>
      <c r="N984" s="50"/>
      <c r="O984" s="50"/>
      <c r="P984" s="50"/>
      <c r="Q984" s="50"/>
      <c r="R984" s="50"/>
      <c r="S984" s="50"/>
      <c r="T984" s="50"/>
      <c r="U984" s="50"/>
      <c r="V984" s="50"/>
      <c r="W984" s="50"/>
      <c r="X984" s="50"/>
      <c r="Y984" s="50"/>
      <c r="Z984" s="50"/>
    </row>
    <row r="985">
      <c r="A985" s="50"/>
      <c r="B985" s="50"/>
      <c r="C985" s="50"/>
      <c r="D985" s="50"/>
      <c r="E985" s="50"/>
      <c r="F985" s="50"/>
      <c r="G985" s="50"/>
      <c r="H985" s="50"/>
      <c r="I985" s="50"/>
      <c r="J985" s="50"/>
      <c r="K985" s="50"/>
      <c r="L985" s="50"/>
      <c r="M985" s="50"/>
      <c r="N985" s="50"/>
      <c r="O985" s="50"/>
      <c r="P985" s="50"/>
      <c r="Q985" s="50"/>
      <c r="R985" s="50"/>
      <c r="S985" s="50"/>
      <c r="T985" s="50"/>
      <c r="U985" s="50"/>
      <c r="V985" s="50"/>
      <c r="W985" s="50"/>
      <c r="X985" s="50"/>
      <c r="Y985" s="50"/>
      <c r="Z985" s="50"/>
    </row>
    <row r="986">
      <c r="A986" s="50"/>
      <c r="B986" s="50"/>
      <c r="C986" s="50"/>
      <c r="D986" s="50"/>
      <c r="E986" s="50"/>
      <c r="F986" s="50"/>
      <c r="G986" s="50"/>
      <c r="H986" s="50"/>
      <c r="I986" s="50"/>
      <c r="J986" s="50"/>
      <c r="K986" s="50"/>
      <c r="L986" s="50"/>
      <c r="M986" s="50"/>
      <c r="N986" s="50"/>
      <c r="O986" s="50"/>
      <c r="P986" s="50"/>
      <c r="Q986" s="50"/>
      <c r="R986" s="50"/>
      <c r="S986" s="50"/>
      <c r="T986" s="50"/>
      <c r="U986" s="50"/>
      <c r="V986" s="50"/>
      <c r="W986" s="50"/>
      <c r="X986" s="50"/>
      <c r="Y986" s="50"/>
      <c r="Z986" s="50"/>
    </row>
    <row r="987">
      <c r="A987" s="50"/>
      <c r="B987" s="50"/>
      <c r="C987" s="50"/>
      <c r="D987" s="50"/>
      <c r="E987" s="50"/>
      <c r="F987" s="50"/>
      <c r="G987" s="50"/>
      <c r="H987" s="50"/>
      <c r="I987" s="50"/>
      <c r="J987" s="50"/>
      <c r="K987" s="50"/>
      <c r="L987" s="50"/>
      <c r="M987" s="50"/>
      <c r="N987" s="50"/>
      <c r="O987" s="50"/>
      <c r="P987" s="50"/>
      <c r="Q987" s="50"/>
      <c r="R987" s="50"/>
      <c r="S987" s="50"/>
      <c r="T987" s="50"/>
      <c r="U987" s="50"/>
      <c r="V987" s="50"/>
      <c r="W987" s="50"/>
      <c r="X987" s="50"/>
      <c r="Y987" s="50"/>
      <c r="Z987" s="50"/>
    </row>
    <row r="988">
      <c r="A988" s="50"/>
      <c r="B988" s="50"/>
      <c r="C988" s="50"/>
      <c r="D988" s="50"/>
      <c r="E988" s="50"/>
      <c r="F988" s="50"/>
      <c r="G988" s="50"/>
      <c r="H988" s="50"/>
      <c r="I988" s="50"/>
      <c r="J988" s="50"/>
      <c r="K988" s="50"/>
      <c r="L988" s="50"/>
      <c r="M988" s="50"/>
      <c r="N988" s="50"/>
      <c r="O988" s="50"/>
      <c r="P988" s="50"/>
      <c r="Q988" s="50"/>
      <c r="R988" s="50"/>
      <c r="S988" s="50"/>
      <c r="T988" s="50"/>
      <c r="U988" s="50"/>
      <c r="V988" s="50"/>
      <c r="W988" s="50"/>
      <c r="X988" s="50"/>
      <c r="Y988" s="50"/>
      <c r="Z988" s="50"/>
    </row>
    <row r="989">
      <c r="A989" s="50"/>
      <c r="B989" s="50"/>
      <c r="C989" s="50"/>
      <c r="D989" s="50"/>
      <c r="E989" s="50"/>
      <c r="F989" s="50"/>
      <c r="G989" s="50"/>
      <c r="H989" s="50"/>
      <c r="I989" s="50"/>
      <c r="J989" s="50"/>
      <c r="K989" s="50"/>
      <c r="L989" s="50"/>
      <c r="M989" s="50"/>
      <c r="N989" s="50"/>
      <c r="O989" s="50"/>
      <c r="P989" s="50"/>
      <c r="Q989" s="50"/>
      <c r="R989" s="50"/>
      <c r="S989" s="50"/>
      <c r="T989" s="50"/>
      <c r="U989" s="50"/>
      <c r="V989" s="50"/>
      <c r="W989" s="50"/>
      <c r="X989" s="50"/>
      <c r="Y989" s="50"/>
      <c r="Z989" s="50"/>
    </row>
    <row r="990">
      <c r="A990" s="50"/>
      <c r="B990" s="50"/>
      <c r="C990" s="50"/>
      <c r="D990" s="50"/>
      <c r="E990" s="50"/>
      <c r="F990" s="50"/>
      <c r="G990" s="50"/>
      <c r="H990" s="50"/>
      <c r="I990" s="50"/>
      <c r="J990" s="50"/>
      <c r="K990" s="50"/>
      <c r="L990" s="50"/>
      <c r="M990" s="50"/>
      <c r="N990" s="50"/>
      <c r="O990" s="50"/>
      <c r="P990" s="50"/>
      <c r="Q990" s="50"/>
      <c r="R990" s="50"/>
      <c r="S990" s="50"/>
      <c r="T990" s="50"/>
      <c r="U990" s="50"/>
      <c r="V990" s="50"/>
      <c r="W990" s="50"/>
      <c r="X990" s="50"/>
      <c r="Y990" s="50"/>
      <c r="Z990" s="50"/>
    </row>
    <row r="991">
      <c r="A991" s="50"/>
      <c r="B991" s="50"/>
      <c r="C991" s="50"/>
      <c r="D991" s="50"/>
      <c r="E991" s="50"/>
      <c r="F991" s="50"/>
      <c r="G991" s="50"/>
      <c r="H991" s="50"/>
      <c r="I991" s="50"/>
      <c r="J991" s="50"/>
      <c r="K991" s="50"/>
      <c r="L991" s="50"/>
      <c r="M991" s="50"/>
      <c r="N991" s="50"/>
      <c r="O991" s="50"/>
      <c r="P991" s="50"/>
      <c r="Q991" s="50"/>
      <c r="R991" s="50"/>
      <c r="S991" s="50"/>
      <c r="T991" s="50"/>
      <c r="U991" s="50"/>
      <c r="V991" s="50"/>
      <c r="W991" s="50"/>
      <c r="X991" s="50"/>
      <c r="Y991" s="50"/>
      <c r="Z991" s="50"/>
    </row>
    <row r="992">
      <c r="A992" s="50"/>
      <c r="B992" s="50"/>
      <c r="C992" s="50"/>
      <c r="D992" s="50"/>
      <c r="E992" s="50"/>
      <c r="F992" s="50"/>
      <c r="G992" s="50"/>
      <c r="H992" s="50"/>
      <c r="I992" s="50"/>
      <c r="J992" s="50"/>
      <c r="K992" s="50"/>
      <c r="L992" s="50"/>
      <c r="M992" s="50"/>
      <c r="N992" s="50"/>
      <c r="O992" s="50"/>
      <c r="P992" s="50"/>
      <c r="Q992" s="50"/>
      <c r="R992" s="50"/>
      <c r="S992" s="50"/>
      <c r="T992" s="50"/>
      <c r="U992" s="50"/>
      <c r="V992" s="50"/>
      <c r="W992" s="50"/>
      <c r="X992" s="50"/>
      <c r="Y992" s="50"/>
      <c r="Z992" s="50"/>
    </row>
    <row r="993">
      <c r="A993" s="50"/>
      <c r="B993" s="50"/>
      <c r="C993" s="50"/>
      <c r="D993" s="50"/>
      <c r="E993" s="50"/>
      <c r="F993" s="50"/>
      <c r="G993" s="50"/>
      <c r="H993" s="50"/>
      <c r="I993" s="50"/>
      <c r="J993" s="50"/>
      <c r="K993" s="50"/>
      <c r="L993" s="50"/>
      <c r="M993" s="50"/>
      <c r="N993" s="50"/>
      <c r="O993" s="50"/>
      <c r="P993" s="50"/>
      <c r="Q993" s="50"/>
      <c r="R993" s="50"/>
      <c r="S993" s="50"/>
      <c r="T993" s="50"/>
      <c r="U993" s="50"/>
      <c r="V993" s="50"/>
      <c r="W993" s="50"/>
      <c r="X993" s="50"/>
      <c r="Y993" s="50"/>
      <c r="Z993" s="50"/>
    </row>
    <row r="994">
      <c r="A994" s="50"/>
      <c r="B994" s="50"/>
      <c r="C994" s="50"/>
      <c r="D994" s="50"/>
      <c r="E994" s="50"/>
      <c r="F994" s="50"/>
      <c r="G994" s="50"/>
      <c r="H994" s="50"/>
      <c r="I994" s="50"/>
      <c r="J994" s="50"/>
      <c r="K994" s="50"/>
      <c r="L994" s="50"/>
      <c r="M994" s="50"/>
      <c r="N994" s="50"/>
      <c r="O994" s="50"/>
      <c r="P994" s="50"/>
      <c r="Q994" s="50"/>
      <c r="R994" s="50"/>
      <c r="S994" s="50"/>
      <c r="T994" s="50"/>
      <c r="U994" s="50"/>
      <c r="V994" s="50"/>
      <c r="W994" s="50"/>
      <c r="X994" s="50"/>
      <c r="Y994" s="50"/>
      <c r="Z994" s="50"/>
    </row>
    <row r="995">
      <c r="A995" s="50"/>
      <c r="B995" s="50"/>
      <c r="C995" s="50"/>
      <c r="D995" s="50"/>
      <c r="E995" s="50"/>
      <c r="F995" s="50"/>
      <c r="G995" s="50"/>
      <c r="H995" s="50"/>
      <c r="I995" s="50"/>
      <c r="J995" s="50"/>
      <c r="K995" s="50"/>
      <c r="L995" s="50"/>
      <c r="M995" s="50"/>
      <c r="N995" s="50"/>
      <c r="O995" s="50"/>
      <c r="P995" s="50"/>
      <c r="Q995" s="50"/>
      <c r="R995" s="50"/>
      <c r="S995" s="50"/>
      <c r="T995" s="50"/>
      <c r="U995" s="50"/>
      <c r="V995" s="50"/>
      <c r="W995" s="50"/>
      <c r="X995" s="50"/>
      <c r="Y995" s="50"/>
      <c r="Z995" s="50"/>
    </row>
    <row r="996">
      <c r="A996" s="50"/>
      <c r="B996" s="50"/>
      <c r="C996" s="50"/>
      <c r="D996" s="50"/>
      <c r="E996" s="50"/>
      <c r="F996" s="50"/>
      <c r="G996" s="50"/>
      <c r="H996" s="50"/>
      <c r="I996" s="50"/>
      <c r="J996" s="50"/>
      <c r="K996" s="50"/>
      <c r="L996" s="50"/>
      <c r="M996" s="50"/>
      <c r="N996" s="50"/>
      <c r="O996" s="50"/>
      <c r="P996" s="50"/>
      <c r="Q996" s="50"/>
      <c r="R996" s="50"/>
      <c r="S996" s="50"/>
      <c r="T996" s="50"/>
      <c r="U996" s="50"/>
      <c r="V996" s="50"/>
      <c r="W996" s="50"/>
      <c r="X996" s="50"/>
      <c r="Y996" s="50"/>
      <c r="Z996" s="50"/>
    </row>
    <row r="997">
      <c r="A997" s="50"/>
      <c r="B997" s="50"/>
      <c r="C997" s="50"/>
      <c r="D997" s="50"/>
      <c r="E997" s="50"/>
      <c r="F997" s="50"/>
      <c r="G997" s="50"/>
      <c r="H997" s="50"/>
      <c r="I997" s="50"/>
      <c r="J997" s="50"/>
      <c r="K997" s="50"/>
      <c r="L997" s="50"/>
      <c r="M997" s="50"/>
      <c r="N997" s="50"/>
      <c r="O997" s="50"/>
      <c r="P997" s="50"/>
      <c r="Q997" s="50"/>
      <c r="R997" s="50"/>
      <c r="S997" s="50"/>
      <c r="T997" s="50"/>
      <c r="U997" s="50"/>
      <c r="V997" s="50"/>
      <c r="W997" s="50"/>
      <c r="X997" s="50"/>
      <c r="Y997" s="50"/>
      <c r="Z997" s="50"/>
    </row>
    <row r="998">
      <c r="A998" s="50"/>
      <c r="B998" s="50"/>
      <c r="C998" s="50"/>
      <c r="D998" s="50"/>
      <c r="E998" s="50"/>
      <c r="F998" s="50"/>
      <c r="G998" s="50"/>
      <c r="H998" s="50"/>
      <c r="I998" s="50"/>
      <c r="J998" s="50"/>
      <c r="K998" s="50"/>
      <c r="L998" s="50"/>
      <c r="M998" s="50"/>
      <c r="N998" s="50"/>
      <c r="O998" s="50"/>
      <c r="P998" s="50"/>
      <c r="Q998" s="50"/>
      <c r="R998" s="50"/>
      <c r="S998" s="50"/>
      <c r="T998" s="50"/>
      <c r="U998" s="50"/>
      <c r="V998" s="50"/>
      <c r="W998" s="50"/>
      <c r="X998" s="50"/>
      <c r="Y998" s="50"/>
      <c r="Z998" s="50"/>
    </row>
    <row r="999">
      <c r="A999" s="50"/>
      <c r="B999" s="50"/>
      <c r="C999" s="50"/>
      <c r="D999" s="50"/>
      <c r="E999" s="50"/>
      <c r="F999" s="50"/>
      <c r="G999" s="50"/>
      <c r="H999" s="50"/>
      <c r="I999" s="50"/>
      <c r="J999" s="50"/>
      <c r="K999" s="50"/>
      <c r="L999" s="50"/>
      <c r="M999" s="50"/>
      <c r="N999" s="50"/>
      <c r="O999" s="50"/>
      <c r="P999" s="50"/>
      <c r="Q999" s="50"/>
      <c r="R999" s="50"/>
      <c r="S999" s="50"/>
      <c r="T999" s="50"/>
      <c r="U999" s="50"/>
      <c r="V999" s="50"/>
      <c r="W999" s="50"/>
      <c r="X999" s="50"/>
      <c r="Y999" s="50"/>
      <c r="Z999" s="50"/>
    </row>
    <row r="1000">
      <c r="A1000" s="50"/>
      <c r="B1000" s="50"/>
      <c r="C1000" s="50"/>
      <c r="D1000" s="50"/>
      <c r="E1000" s="50"/>
      <c r="F1000" s="50"/>
      <c r="G1000" s="50"/>
      <c r="H1000" s="50"/>
      <c r="I1000" s="50"/>
      <c r="J1000" s="50"/>
      <c r="K1000" s="50"/>
      <c r="L1000" s="50"/>
      <c r="M1000" s="50"/>
      <c r="N1000" s="50"/>
      <c r="O1000" s="50"/>
      <c r="P1000" s="50"/>
      <c r="Q1000" s="50"/>
      <c r="R1000" s="50"/>
      <c r="S1000" s="50"/>
      <c r="T1000" s="50"/>
      <c r="U1000" s="50"/>
      <c r="V1000" s="50"/>
      <c r="W1000" s="50"/>
      <c r="X1000" s="50"/>
      <c r="Y1000" s="50"/>
      <c r="Z1000" s="50"/>
    </row>
  </sheetData>
  <mergeCells count="2">
    <mergeCell ref="L3:M3"/>
    <mergeCell ref="N3:O3"/>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workbookViewId="0"/>
  </sheetViews>
  <sheetFormatPr customHeight="1" defaultColWidth="12.63" defaultRowHeight="15.0"/>
  <cols>
    <col customWidth="1" min="1" max="31" width="11.13"/>
  </cols>
  <sheetData>
    <row r="1" ht="15.75" customHeight="1">
      <c r="A1" s="24" t="s">
        <v>115</v>
      </c>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row>
    <row r="2" ht="15.75" customHeight="1">
      <c r="A2" s="24"/>
      <c r="B2" s="31">
        <v>2019.0</v>
      </c>
      <c r="C2" s="6"/>
      <c r="D2" s="7"/>
      <c r="E2" s="31">
        <v>2020.0</v>
      </c>
      <c r="F2" s="6"/>
      <c r="G2" s="7"/>
      <c r="H2" s="31">
        <v>2021.0</v>
      </c>
      <c r="I2" s="6"/>
      <c r="J2" s="7"/>
      <c r="K2" s="31">
        <v>2022.0</v>
      </c>
      <c r="L2" s="6"/>
      <c r="M2" s="7"/>
      <c r="N2" s="31">
        <v>2023.0</v>
      </c>
      <c r="O2" s="6"/>
      <c r="P2" s="7"/>
      <c r="Q2" s="31">
        <v>2024.0</v>
      </c>
      <c r="R2" s="6"/>
      <c r="S2" s="7"/>
      <c r="T2" s="31">
        <v>2025.0</v>
      </c>
      <c r="U2" s="6"/>
      <c r="V2" s="7"/>
      <c r="W2" s="24"/>
      <c r="X2" s="24"/>
      <c r="Y2" s="24"/>
      <c r="Z2" s="24"/>
      <c r="AA2" s="24"/>
      <c r="AB2" s="24"/>
      <c r="AC2" s="24"/>
      <c r="AD2" s="24"/>
      <c r="AE2" s="24"/>
    </row>
    <row r="3" ht="15.75" customHeight="1">
      <c r="A3" s="24"/>
      <c r="B3" s="38" t="s">
        <v>47</v>
      </c>
      <c r="C3" s="39" t="s">
        <v>116</v>
      </c>
      <c r="D3" s="39" t="s">
        <v>117</v>
      </c>
      <c r="E3" s="32" t="s">
        <v>47</v>
      </c>
      <c r="F3" s="32" t="s">
        <v>97</v>
      </c>
      <c r="G3" s="32" t="s">
        <v>117</v>
      </c>
      <c r="H3" s="32" t="s">
        <v>47</v>
      </c>
      <c r="I3" s="32" t="s">
        <v>97</v>
      </c>
      <c r="J3" s="32" t="s">
        <v>117</v>
      </c>
      <c r="K3" s="32" t="s">
        <v>47</v>
      </c>
      <c r="L3" s="32" t="s">
        <v>97</v>
      </c>
      <c r="M3" s="32" t="s">
        <v>117</v>
      </c>
      <c r="N3" s="32" t="s">
        <v>47</v>
      </c>
      <c r="O3" s="32" t="s">
        <v>97</v>
      </c>
      <c r="P3" s="32" t="s">
        <v>117</v>
      </c>
      <c r="Q3" s="32" t="s">
        <v>47</v>
      </c>
      <c r="R3" s="32" t="s">
        <v>97</v>
      </c>
      <c r="S3" s="32" t="s">
        <v>117</v>
      </c>
      <c r="T3" s="32" t="s">
        <v>47</v>
      </c>
      <c r="U3" s="32" t="s">
        <v>97</v>
      </c>
      <c r="V3" s="32" t="s">
        <v>117</v>
      </c>
      <c r="W3" s="24"/>
      <c r="X3" s="24"/>
      <c r="Y3" s="24"/>
      <c r="Z3" s="24"/>
      <c r="AA3" s="24"/>
      <c r="AB3" s="24"/>
      <c r="AC3" s="24"/>
      <c r="AD3" s="24"/>
      <c r="AE3" s="24"/>
    </row>
    <row r="4" ht="15.75" customHeight="1">
      <c r="A4" s="26" t="s">
        <v>42</v>
      </c>
      <c r="B4" s="119">
        <v>1012308.0</v>
      </c>
      <c r="C4" s="93">
        <v>1.0</v>
      </c>
      <c r="D4" s="93">
        <f>B4/4996158</f>
        <v>0.2026172911</v>
      </c>
      <c r="E4" s="27">
        <v>1022471.0</v>
      </c>
      <c r="F4" s="120">
        <v>1.0</v>
      </c>
      <c r="G4" s="120">
        <f>E4/5039637</f>
        <v>0.2028858428</v>
      </c>
      <c r="H4" s="27">
        <v>1047873.0</v>
      </c>
      <c r="I4" s="120">
        <v>1.0</v>
      </c>
      <c r="J4" s="35">
        <f>H4/5171894</f>
        <v>0.2026091409</v>
      </c>
      <c r="K4" s="27">
        <v>1056187.0</v>
      </c>
      <c r="L4" s="120">
        <v>1.0</v>
      </c>
      <c r="M4" s="35">
        <f>K4/5193669</f>
        <v>0.203360476</v>
      </c>
      <c r="N4" s="27">
        <v>1035566.0</v>
      </c>
      <c r="O4" s="120">
        <v>1.0</v>
      </c>
      <c r="P4" s="35">
        <f>N4/5050257</f>
        <v>0.2050521389</v>
      </c>
      <c r="Q4" s="27">
        <v>1050842.0</v>
      </c>
      <c r="R4" s="120">
        <v>1.0</v>
      </c>
      <c r="S4" s="35">
        <f>Q4/'Indicatore 4_cittadini stranie'!Q4</f>
        <v>0.1979882425</v>
      </c>
      <c r="T4" s="27">
        <v>1043898.0</v>
      </c>
      <c r="U4" s="120">
        <v>1.0</v>
      </c>
      <c r="V4" s="35">
        <f>T4/'Indicatore 4_cittadini stranie'!T4</f>
        <v>0.192514937</v>
      </c>
      <c r="W4" s="24"/>
      <c r="X4" s="24"/>
      <c r="Y4" s="24"/>
      <c r="Z4" s="24"/>
      <c r="AA4" s="24"/>
      <c r="AB4" s="24"/>
      <c r="AC4" s="24"/>
      <c r="AD4" s="24"/>
      <c r="AE4" s="24"/>
    </row>
    <row r="5" ht="15.75" customHeight="1">
      <c r="A5" s="26" t="s">
        <v>43</v>
      </c>
      <c r="B5" s="119">
        <v>257330.0</v>
      </c>
      <c r="C5" s="93">
        <f>B5/B4</f>
        <v>0.2542012905</v>
      </c>
      <c r="D5" s="93">
        <f>B5/411083</f>
        <v>0.6259806414</v>
      </c>
      <c r="E5" s="27">
        <v>260860.0</v>
      </c>
      <c r="F5" s="120">
        <f>E5/E4</f>
        <v>0.2551270403</v>
      </c>
      <c r="G5" s="120">
        <f>E5/411936</f>
        <v>0.6332537093</v>
      </c>
      <c r="H5" s="27">
        <v>268397.0</v>
      </c>
      <c r="I5" s="120">
        <f>H5/H4</f>
        <v>0.2561350469</v>
      </c>
      <c r="J5" s="35">
        <f>H5/417279</f>
        <v>0.6432075422</v>
      </c>
      <c r="K5" s="27">
        <v>267017.0</v>
      </c>
      <c r="L5" s="120">
        <f>K5/K4</f>
        <v>0.2528122387</v>
      </c>
      <c r="M5" s="35">
        <f>K5/415637</f>
        <v>0.642428369</v>
      </c>
      <c r="N5" s="27">
        <v>261291.0</v>
      </c>
      <c r="O5" s="120">
        <f>N5/N4</f>
        <v>0.2523170904</v>
      </c>
      <c r="P5" s="35">
        <f>N5/414239</f>
        <v>0.6307735389</v>
      </c>
      <c r="Q5" s="27">
        <v>258677.0</v>
      </c>
      <c r="R5" s="120">
        <f>Q5/Q4</f>
        <v>0.2461616494</v>
      </c>
      <c r="S5" s="35">
        <f>Q5/'Indicatore 4_cittadini stranie'!Q5</f>
        <v>0.2150019366</v>
      </c>
      <c r="T5" s="27">
        <v>257922.0</v>
      </c>
      <c r="U5" s="120">
        <f>T5/T4</f>
        <v>0.2470758637</v>
      </c>
      <c r="V5" s="35">
        <f>T5/'Indicatore 4_cittadini stranie'!T5</f>
        <v>0.2096309867</v>
      </c>
      <c r="W5" s="24"/>
      <c r="X5" s="24"/>
      <c r="Y5" s="24"/>
      <c r="Z5" s="24"/>
      <c r="AA5" s="24"/>
      <c r="AB5" s="24"/>
      <c r="AC5" s="24"/>
      <c r="AD5" s="24"/>
      <c r="AE5" s="24"/>
    </row>
    <row r="6" ht="15.75" customHeight="1">
      <c r="A6" s="26" t="s">
        <v>44</v>
      </c>
      <c r="B6" s="119">
        <v>36730.0</v>
      </c>
      <c r="C6" s="93">
        <f>B6/B4</f>
        <v>0.03628342362</v>
      </c>
      <c r="D6" s="93">
        <f>B6/9871</f>
        <v>3.721000912</v>
      </c>
      <c r="E6" s="27">
        <v>36288.0</v>
      </c>
      <c r="F6" s="120">
        <f>E6/E4</f>
        <v>0.03549049313</v>
      </c>
      <c r="G6" s="120">
        <f>E6/9796</f>
        <v>3.70436913</v>
      </c>
      <c r="H6" s="27">
        <v>36335.0</v>
      </c>
      <c r="I6" s="120">
        <f>H6/H4</f>
        <v>0.03467500355</v>
      </c>
      <c r="J6" s="35">
        <f>H6/9652</f>
        <v>3.764504766</v>
      </c>
      <c r="K6" s="27">
        <v>36561.0</v>
      </c>
      <c r="L6" s="120">
        <f>K6/K4</f>
        <v>0.03461602917</v>
      </c>
      <c r="M6" s="35">
        <f>K6/9647</f>
        <v>3.789882865</v>
      </c>
      <c r="N6" s="27">
        <v>34412.0</v>
      </c>
      <c r="O6" s="120">
        <f>N6/N4</f>
        <v>0.03323013695</v>
      </c>
      <c r="P6" s="35">
        <f>N6/9694</f>
        <v>3.549824634</v>
      </c>
      <c r="Q6" s="27">
        <v>34600.0</v>
      </c>
      <c r="R6" s="120">
        <f>Q6/Q4</f>
        <v>0.03292597745</v>
      </c>
      <c r="S6" s="35">
        <f>Q6/'Indicatore 4_cittadini stranie'!Q6</f>
        <v>0.2254262576</v>
      </c>
      <c r="T6" s="27">
        <v>34140.0</v>
      </c>
      <c r="U6" s="120">
        <f>T6/T4</f>
        <v>0.03270434468</v>
      </c>
      <c r="V6" s="35">
        <f>T6/'Indicatore 4_cittadini stranie'!T6</f>
        <v>0.219965723</v>
      </c>
      <c r="W6" s="24"/>
      <c r="X6" s="24"/>
      <c r="Y6" s="24"/>
      <c r="Z6" s="24"/>
      <c r="AA6" s="24"/>
      <c r="AB6" s="24"/>
      <c r="AC6" s="24"/>
      <c r="AD6" s="24"/>
      <c r="AE6" s="24"/>
    </row>
    <row r="7" ht="15.75" customHeight="1">
      <c r="A7" s="24" t="s">
        <v>45</v>
      </c>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row>
    <row r="8" ht="15.75" customHeight="1">
      <c r="A8" s="24" t="s">
        <v>95</v>
      </c>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row>
    <row r="9" ht="15.75" customHeight="1">
      <c r="A9" s="24"/>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row>
    <row r="10" ht="15.75" customHeight="1">
      <c r="A10" s="24" t="s">
        <v>118</v>
      </c>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ht="15.75" customHeight="1">
      <c r="A11" s="24"/>
      <c r="B11" s="31">
        <v>2019.0</v>
      </c>
      <c r="C11" s="6"/>
      <c r="D11" s="6"/>
      <c r="E11" s="6"/>
      <c r="F11" s="7"/>
      <c r="G11" s="31">
        <v>2020.0</v>
      </c>
      <c r="H11" s="6"/>
      <c r="I11" s="6"/>
      <c r="J11" s="6"/>
      <c r="K11" s="7"/>
      <c r="L11" s="31">
        <v>2021.0</v>
      </c>
      <c r="M11" s="6"/>
      <c r="N11" s="6"/>
      <c r="O11" s="6"/>
      <c r="P11" s="7"/>
      <c r="Q11" s="31">
        <v>2022.0</v>
      </c>
      <c r="R11" s="6"/>
      <c r="S11" s="6"/>
      <c r="T11" s="6"/>
      <c r="U11" s="7"/>
      <c r="V11" s="31">
        <v>2023.0</v>
      </c>
      <c r="W11" s="6"/>
      <c r="X11" s="6"/>
      <c r="Y11" s="6"/>
      <c r="Z11" s="7"/>
      <c r="AA11" s="31">
        <v>2024.0</v>
      </c>
      <c r="AB11" s="6"/>
      <c r="AC11" s="6"/>
      <c r="AD11" s="6"/>
      <c r="AE11" s="7"/>
    </row>
    <row r="12" ht="15.75" customHeight="1">
      <c r="A12" s="24"/>
      <c r="B12" s="36" t="s">
        <v>52</v>
      </c>
      <c r="C12" s="10"/>
      <c r="D12" s="37" t="s">
        <v>53</v>
      </c>
      <c r="E12" s="10"/>
      <c r="F12" s="80" t="s">
        <v>69</v>
      </c>
      <c r="G12" s="30" t="s">
        <v>52</v>
      </c>
      <c r="H12" s="7"/>
      <c r="I12" s="30" t="s">
        <v>53</v>
      </c>
      <c r="J12" s="7"/>
      <c r="K12" s="25" t="s">
        <v>69</v>
      </c>
      <c r="L12" s="30" t="s">
        <v>52</v>
      </c>
      <c r="M12" s="7"/>
      <c r="N12" s="30" t="s">
        <v>53</v>
      </c>
      <c r="O12" s="7"/>
      <c r="P12" s="25" t="s">
        <v>69</v>
      </c>
      <c r="Q12" s="30" t="s">
        <v>52</v>
      </c>
      <c r="R12" s="7"/>
      <c r="S12" s="30" t="s">
        <v>53</v>
      </c>
      <c r="T12" s="7"/>
      <c r="U12" s="25" t="s">
        <v>69</v>
      </c>
      <c r="V12" s="25" t="s">
        <v>52</v>
      </c>
      <c r="W12" s="25"/>
      <c r="X12" s="25" t="s">
        <v>53</v>
      </c>
      <c r="Y12" s="25"/>
      <c r="Z12" s="25" t="s">
        <v>69</v>
      </c>
      <c r="AA12" s="25" t="s">
        <v>52</v>
      </c>
      <c r="AB12" s="25"/>
      <c r="AC12" s="25" t="s">
        <v>53</v>
      </c>
      <c r="AD12" s="25"/>
      <c r="AE12" s="25" t="s">
        <v>69</v>
      </c>
    </row>
    <row r="13" ht="15.75" customHeight="1">
      <c r="A13" s="24"/>
      <c r="B13" s="38" t="s">
        <v>47</v>
      </c>
      <c r="C13" s="39" t="s">
        <v>54</v>
      </c>
      <c r="D13" s="39" t="s">
        <v>47</v>
      </c>
      <c r="E13" s="39" t="s">
        <v>54</v>
      </c>
      <c r="F13" s="39" t="s">
        <v>47</v>
      </c>
      <c r="G13" s="32" t="s">
        <v>47</v>
      </c>
      <c r="H13" s="32" t="s">
        <v>54</v>
      </c>
      <c r="I13" s="32" t="s">
        <v>47</v>
      </c>
      <c r="J13" s="32" t="s">
        <v>54</v>
      </c>
      <c r="K13" s="32" t="s">
        <v>47</v>
      </c>
      <c r="L13" s="32" t="s">
        <v>47</v>
      </c>
      <c r="M13" s="32" t="s">
        <v>54</v>
      </c>
      <c r="N13" s="32" t="s">
        <v>47</v>
      </c>
      <c r="O13" s="32" t="s">
        <v>54</v>
      </c>
      <c r="P13" s="32" t="s">
        <v>47</v>
      </c>
      <c r="Q13" s="32" t="s">
        <v>47</v>
      </c>
      <c r="R13" s="32" t="s">
        <v>54</v>
      </c>
      <c r="S13" s="32" t="s">
        <v>47</v>
      </c>
      <c r="T13" s="32" t="s">
        <v>54</v>
      </c>
      <c r="U13" s="32" t="s">
        <v>47</v>
      </c>
      <c r="V13" s="32" t="s">
        <v>47</v>
      </c>
      <c r="W13" s="32" t="s">
        <v>54</v>
      </c>
      <c r="X13" s="32" t="s">
        <v>47</v>
      </c>
      <c r="Y13" s="32" t="s">
        <v>54</v>
      </c>
      <c r="Z13" s="32" t="s">
        <v>47</v>
      </c>
      <c r="AA13" s="32" t="s">
        <v>47</v>
      </c>
      <c r="AB13" s="32" t="s">
        <v>54</v>
      </c>
      <c r="AC13" s="32" t="s">
        <v>47</v>
      </c>
      <c r="AD13" s="32" t="s">
        <v>54</v>
      </c>
      <c r="AE13" s="32" t="s">
        <v>47</v>
      </c>
    </row>
    <row r="14" ht="15.75" customHeight="1">
      <c r="A14" s="26" t="s">
        <v>42</v>
      </c>
      <c r="B14" s="40">
        <v>525390.0</v>
      </c>
      <c r="C14" s="41">
        <f t="shared" ref="C14:C16" si="1">B14/F14</f>
        <v>0.5190021219</v>
      </c>
      <c r="D14" s="42">
        <v>486918.0</v>
      </c>
      <c r="E14" s="41">
        <f t="shared" ref="E14:E16" si="2">D14/F14</f>
        <v>0.4809978781</v>
      </c>
      <c r="F14" s="42">
        <f>SUM(B14,D14)</f>
        <v>1012308</v>
      </c>
      <c r="G14" s="27">
        <v>530045.0</v>
      </c>
      <c r="H14" s="35">
        <f t="shared" ref="H14:H16" si="3">G14/K14</f>
        <v>0.5183961208</v>
      </c>
      <c r="I14" s="27">
        <v>492426.0</v>
      </c>
      <c r="J14" s="35">
        <f t="shared" ref="J14:J16" si="4">I14/K14</f>
        <v>0.4816038792</v>
      </c>
      <c r="K14" s="28">
        <f>SUM(G14,I14)</f>
        <v>1022471</v>
      </c>
      <c r="L14" s="27">
        <v>543231.0</v>
      </c>
      <c r="M14" s="35">
        <f t="shared" ref="M14:M16" si="5">L14/P14</f>
        <v>0.5184130138</v>
      </c>
      <c r="N14" s="27">
        <v>504642.0</v>
      </c>
      <c r="O14" s="35">
        <f t="shared" ref="O14:O16" si="6">N14/P14</f>
        <v>0.4815869862</v>
      </c>
      <c r="P14" s="28">
        <f>SUM(L14,N14)</f>
        <v>1047873</v>
      </c>
      <c r="Q14" s="27">
        <v>547138.0</v>
      </c>
      <c r="R14" s="35">
        <f t="shared" ref="R14:R16" si="7">Q14/U14</f>
        <v>0.5180313713</v>
      </c>
      <c r="S14" s="27">
        <v>509049.0</v>
      </c>
      <c r="T14" s="35">
        <f t="shared" ref="T14:T16" si="8">S14/U14</f>
        <v>0.4819686287</v>
      </c>
      <c r="U14" s="28">
        <f>SUM(Q14,S14)</f>
        <v>1056187</v>
      </c>
      <c r="V14" s="27">
        <v>537676.0</v>
      </c>
      <c r="W14" s="35">
        <f t="shared" ref="W14:W16" si="9">V14/Z14</f>
        <v>0.5192097848</v>
      </c>
      <c r="X14" s="121">
        <v>497890.0</v>
      </c>
      <c r="Y14" s="35">
        <f t="shared" ref="Y14:Y16" si="10">X14/Z14</f>
        <v>0.4807902152</v>
      </c>
      <c r="Z14" s="28">
        <f>SUM(V14,X14)</f>
        <v>1035566</v>
      </c>
      <c r="AA14" s="27">
        <v>549431.0</v>
      </c>
      <c r="AB14" s="35">
        <f t="shared" ref="AB14:AB16" si="11">AA14/AE14</f>
        <v>0.5228483445</v>
      </c>
      <c r="AC14" s="27">
        <v>501411.0</v>
      </c>
      <c r="AD14" s="35">
        <f t="shared" ref="AD14:AD16" si="12">AC14/AE14</f>
        <v>0.4771516555</v>
      </c>
      <c r="AE14" s="28">
        <v>1050842.0</v>
      </c>
    </row>
    <row r="15" ht="15.75" customHeight="1">
      <c r="A15" s="26" t="s">
        <v>43</v>
      </c>
      <c r="B15" s="40">
        <v>133095.0</v>
      </c>
      <c r="C15" s="41">
        <f t="shared" si="1"/>
        <v>0.5172152489</v>
      </c>
      <c r="D15" s="42">
        <v>124235.0</v>
      </c>
      <c r="E15" s="41">
        <f t="shared" si="2"/>
        <v>0.4827847511</v>
      </c>
      <c r="F15" s="40">
        <v>257330.0</v>
      </c>
      <c r="G15" s="27">
        <v>134988.0</v>
      </c>
      <c r="H15" s="35">
        <f t="shared" si="3"/>
        <v>0.517472974</v>
      </c>
      <c r="I15" s="27">
        <v>125872.0</v>
      </c>
      <c r="J15" s="35">
        <f t="shared" si="4"/>
        <v>0.482527026</v>
      </c>
      <c r="K15" s="27">
        <v>260860.0</v>
      </c>
      <c r="L15" s="27">
        <v>138924.0</v>
      </c>
      <c r="M15" s="35">
        <f t="shared" si="5"/>
        <v>0.5176063816</v>
      </c>
      <c r="N15" s="27">
        <v>129473.0</v>
      </c>
      <c r="O15" s="35">
        <f t="shared" si="6"/>
        <v>0.4823936184</v>
      </c>
      <c r="P15" s="27">
        <v>268397.0</v>
      </c>
      <c r="Q15" s="27">
        <v>138120.0</v>
      </c>
      <c r="R15" s="35">
        <f t="shared" si="7"/>
        <v>0.517270436</v>
      </c>
      <c r="S15" s="27">
        <v>128897.0</v>
      </c>
      <c r="T15" s="35">
        <f t="shared" si="8"/>
        <v>0.482729564</v>
      </c>
      <c r="U15" s="27">
        <v>267017.0</v>
      </c>
      <c r="V15" s="27">
        <v>135587.0</v>
      </c>
      <c r="W15" s="35">
        <f t="shared" si="9"/>
        <v>0.5189118645</v>
      </c>
      <c r="X15" s="121">
        <v>125704.0</v>
      </c>
      <c r="Y15" s="35">
        <f t="shared" si="10"/>
        <v>0.4810881355</v>
      </c>
      <c r="Z15" s="27">
        <v>261291.0</v>
      </c>
      <c r="AA15" s="94">
        <v>134224.0</v>
      </c>
      <c r="AB15" s="35">
        <f t="shared" si="11"/>
        <v>0.5188864878</v>
      </c>
      <c r="AC15" s="94">
        <v>124453.0</v>
      </c>
      <c r="AD15" s="35">
        <f t="shared" si="12"/>
        <v>0.4811135122</v>
      </c>
      <c r="AE15" s="27">
        <v>258677.0</v>
      </c>
    </row>
    <row r="16" ht="15.75" customHeight="1">
      <c r="A16" s="26" t="s">
        <v>44</v>
      </c>
      <c r="B16" s="40">
        <v>19150.0</v>
      </c>
      <c r="C16" s="41">
        <f t="shared" si="1"/>
        <v>0.5213721753</v>
      </c>
      <c r="D16" s="42">
        <v>17580.0</v>
      </c>
      <c r="E16" s="41">
        <f t="shared" si="2"/>
        <v>0.4786278247</v>
      </c>
      <c r="F16" s="40">
        <v>36730.0</v>
      </c>
      <c r="G16" s="27">
        <v>18894.0</v>
      </c>
      <c r="H16" s="35">
        <f t="shared" si="3"/>
        <v>0.5206679894</v>
      </c>
      <c r="I16" s="27">
        <v>17394.0</v>
      </c>
      <c r="J16" s="35">
        <f t="shared" si="4"/>
        <v>0.4793320106</v>
      </c>
      <c r="K16" s="27">
        <v>36288.0</v>
      </c>
      <c r="L16" s="27">
        <v>18915.0</v>
      </c>
      <c r="M16" s="35">
        <f t="shared" si="5"/>
        <v>0.5205724508</v>
      </c>
      <c r="N16" s="27">
        <v>17420.0</v>
      </c>
      <c r="O16" s="35">
        <f t="shared" si="6"/>
        <v>0.4794275492</v>
      </c>
      <c r="P16" s="27">
        <v>36335.0</v>
      </c>
      <c r="Q16" s="27">
        <v>19048.0</v>
      </c>
      <c r="R16" s="35">
        <f t="shared" si="7"/>
        <v>0.5209923142</v>
      </c>
      <c r="S16" s="27">
        <v>17513.0</v>
      </c>
      <c r="T16" s="35">
        <f t="shared" si="8"/>
        <v>0.4790076858</v>
      </c>
      <c r="U16" s="27">
        <v>36561.0</v>
      </c>
      <c r="V16" s="27">
        <v>17990.0</v>
      </c>
      <c r="W16" s="35">
        <f t="shared" si="9"/>
        <v>0.5227827502</v>
      </c>
      <c r="X16" s="121">
        <v>16422.0</v>
      </c>
      <c r="Y16" s="35">
        <f t="shared" si="10"/>
        <v>0.4772172498</v>
      </c>
      <c r="Z16" s="27">
        <v>34412.0</v>
      </c>
      <c r="AA16" s="94">
        <v>18021.0</v>
      </c>
      <c r="AB16" s="35">
        <f t="shared" si="11"/>
        <v>0.5208381503</v>
      </c>
      <c r="AC16" s="94">
        <v>16579.0</v>
      </c>
      <c r="AD16" s="35">
        <f t="shared" si="12"/>
        <v>0.4791618497</v>
      </c>
      <c r="AE16" s="27">
        <v>34600.0</v>
      </c>
    </row>
    <row r="17" ht="15.75" customHeight="1">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row>
    <row r="18" ht="15.75" customHeight="1">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row>
    <row r="19" ht="15.75" customHeight="1">
      <c r="A19" s="24"/>
      <c r="B19" s="31">
        <v>2025.0</v>
      </c>
      <c r="C19" s="6"/>
      <c r="D19" s="6"/>
      <c r="E19" s="6"/>
      <c r="F19" s="7"/>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row>
    <row r="20" ht="15.75" customHeight="1">
      <c r="A20" s="24"/>
      <c r="B20" s="25" t="s">
        <v>52</v>
      </c>
      <c r="C20" s="25"/>
      <c r="D20" s="25" t="s">
        <v>53</v>
      </c>
      <c r="E20" s="25"/>
      <c r="F20" s="25" t="s">
        <v>69</v>
      </c>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row>
    <row r="21" ht="15.75" customHeight="1">
      <c r="A21" s="24"/>
      <c r="B21" s="32" t="s">
        <v>47</v>
      </c>
      <c r="C21" s="32" t="s">
        <v>54</v>
      </c>
      <c r="D21" s="32" t="s">
        <v>47</v>
      </c>
      <c r="E21" s="32" t="s">
        <v>54</v>
      </c>
      <c r="F21" s="32" t="s">
        <v>47</v>
      </c>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row>
    <row r="22" ht="15.75" customHeight="1">
      <c r="A22" s="26" t="s">
        <v>42</v>
      </c>
      <c r="B22" s="27">
        <v>547309.0</v>
      </c>
      <c r="C22" s="35">
        <f t="shared" ref="C22:C24" si="13">B22/F22</f>
        <v>0.5242935612</v>
      </c>
      <c r="D22" s="27">
        <v>496589.0</v>
      </c>
      <c r="E22" s="35">
        <f t="shared" ref="E22:E24" si="14">D22/F22</f>
        <v>0.4757064388</v>
      </c>
      <c r="F22" s="27">
        <v>1043898.0</v>
      </c>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row>
    <row r="23" ht="15.75" customHeight="1">
      <c r="A23" s="26" t="s">
        <v>43</v>
      </c>
      <c r="B23" s="90">
        <v>134218.0</v>
      </c>
      <c r="C23" s="35">
        <f t="shared" si="13"/>
        <v>0.520382131</v>
      </c>
      <c r="D23" s="90">
        <v>123704.0</v>
      </c>
      <c r="E23" s="35">
        <f t="shared" si="14"/>
        <v>0.479617869</v>
      </c>
      <c r="F23" s="27">
        <v>257922.0</v>
      </c>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row>
    <row r="24" ht="15.75" customHeight="1">
      <c r="A24" s="26" t="s">
        <v>44</v>
      </c>
      <c r="B24" s="90">
        <v>17861.0</v>
      </c>
      <c r="C24" s="35">
        <f t="shared" si="13"/>
        <v>0.5231693029</v>
      </c>
      <c r="D24" s="90">
        <v>16279.0</v>
      </c>
      <c r="E24" s="35">
        <f t="shared" si="14"/>
        <v>0.4768306971</v>
      </c>
      <c r="F24" s="27">
        <v>34140.0</v>
      </c>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row>
    <row r="25" ht="15.75" customHeight="1">
      <c r="A25" s="24" t="s">
        <v>45</v>
      </c>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row>
    <row r="26" ht="15.75" customHeight="1">
      <c r="A26" s="24" t="s">
        <v>95</v>
      </c>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row>
    <row r="27"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row>
    <row r="28"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row>
    <row r="29"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row>
    <row r="30"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row>
    <row r="31"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row>
    <row r="32"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row>
    <row r="33"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row>
    <row r="34"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row>
    <row r="35"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row>
    <row r="36"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row>
    <row r="37"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row>
    <row r="38"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row>
    <row r="3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row>
    <row r="40"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row>
    <row r="41"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row>
    <row r="42"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row>
    <row r="43"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row>
    <row r="44"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row>
    <row r="45"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row>
    <row r="46"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row>
    <row r="47"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row>
    <row r="4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row>
    <row r="4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row>
    <row r="50"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row>
    <row r="51"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row>
    <row r="52"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row>
    <row r="53"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row>
    <row r="54"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row>
    <row r="55"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row>
    <row r="56"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row>
    <row r="57"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row>
    <row r="5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row>
    <row r="5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row>
    <row r="60"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row>
    <row r="61"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row>
    <row r="62"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row>
    <row r="63"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row>
    <row r="64"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row>
    <row r="65"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row>
    <row r="66"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row>
    <row r="67"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row>
    <row r="6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row>
    <row r="6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row>
    <row r="70"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row>
    <row r="71"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row>
    <row r="72"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row>
    <row r="73"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row>
    <row r="74"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row>
    <row r="75"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row>
    <row r="76"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row>
    <row r="77"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row>
    <row r="7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row>
    <row r="7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row>
    <row r="80"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row>
    <row r="81"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row>
    <row r="82"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row>
    <row r="83"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row>
    <row r="84"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row>
    <row r="85"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row>
    <row r="86"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row>
    <row r="87"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row>
    <row r="8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row>
    <row r="8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row>
    <row r="90"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row>
    <row r="91"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row>
    <row r="92"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row>
    <row r="93"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row>
    <row r="94"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row>
    <row r="95"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row>
    <row r="96"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row>
    <row r="97"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row>
    <row r="9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row>
    <row r="9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row>
    <row r="100"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row>
    <row r="101"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row>
    <row r="102"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row>
    <row r="103"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row>
    <row r="104"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row>
    <row r="105"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row>
    <row r="106"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row>
    <row r="107"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row>
    <row r="10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row>
    <row r="10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row>
    <row r="110"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row>
    <row r="111"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row>
    <row r="112"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c r="AD112" s="24"/>
      <c r="AE112" s="24"/>
    </row>
    <row r="113"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row>
    <row r="114"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row>
    <row r="115"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row>
    <row r="116"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row>
    <row r="117"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row>
    <row r="11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c r="AD118" s="24"/>
      <c r="AE118" s="24"/>
    </row>
    <row r="11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row>
    <row r="120"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row>
    <row r="121"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row>
    <row r="122"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c r="AD122" s="24"/>
      <c r="AE122" s="24"/>
    </row>
    <row r="123"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row>
    <row r="124"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row>
    <row r="125"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row>
    <row r="126"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row>
    <row r="127"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row>
    <row r="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row>
    <row r="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row>
    <row r="130"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row>
    <row r="131"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row>
    <row r="132"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row>
    <row r="133"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row>
    <row r="134"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row>
    <row r="135"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row>
    <row r="136"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row>
    <row r="137"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row>
    <row r="13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row>
    <row r="13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row>
    <row r="140"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row>
    <row r="141"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row>
    <row r="142"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row>
    <row r="143"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row>
    <row r="144"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row>
    <row r="145"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row>
    <row r="146"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row>
    <row r="147"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row>
    <row r="14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row>
    <row r="14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row>
    <row r="150"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4"/>
    </row>
    <row r="151"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row>
    <row r="152"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4"/>
    </row>
    <row r="153"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row>
    <row r="154"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row>
    <row r="155"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row>
    <row r="156"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row>
    <row r="157"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row>
    <row r="15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E158" s="24"/>
    </row>
    <row r="15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row>
    <row r="160"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row>
    <row r="161"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row>
    <row r="162"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row>
    <row r="163"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row>
    <row r="164"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row>
    <row r="165"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row>
    <row r="166"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4"/>
    </row>
    <row r="167"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row>
    <row r="16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row>
    <row r="16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row>
    <row r="170"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row>
    <row r="171"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row>
    <row r="172"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row>
    <row r="173"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row>
    <row r="174"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24"/>
    </row>
    <row r="175"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row>
    <row r="176"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row>
    <row r="177"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row>
    <row r="17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row>
    <row r="17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24"/>
    </row>
    <row r="180"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row>
    <row r="181"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row>
    <row r="182"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row>
    <row r="183"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row>
    <row r="184"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row>
    <row r="185"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row>
    <row r="186"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row>
    <row r="187"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row>
    <row r="18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row>
    <row r="18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24"/>
    </row>
    <row r="190"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c r="AD190" s="24"/>
      <c r="AE190" s="24"/>
    </row>
    <row r="191"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c r="AE191" s="24"/>
    </row>
    <row r="192"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row>
    <row r="193"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row>
    <row r="194"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c r="AE194" s="24"/>
    </row>
    <row r="195"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row>
    <row r="196"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row>
    <row r="197"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row>
    <row r="198"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row>
    <row r="199"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row>
    <row r="200"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row>
    <row r="201"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row>
    <row r="202"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c r="AD202" s="24"/>
      <c r="AE202" s="24"/>
    </row>
    <row r="203"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c r="AD203" s="24"/>
      <c r="AE203" s="24"/>
    </row>
    <row r="204"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row>
    <row r="205"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row>
    <row r="206"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row>
    <row r="207"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row>
    <row r="208"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row>
    <row r="209"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row>
    <row r="210"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row>
    <row r="211"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row>
    <row r="212"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row>
    <row r="213"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row>
    <row r="214"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row>
    <row r="215"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row>
    <row r="216"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row>
    <row r="217"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row>
    <row r="218"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row>
    <row r="219"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row>
    <row r="220"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row>
    <row r="221"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row>
    <row r="222"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row>
    <row r="223"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row>
    <row r="224"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row>
    <row r="225"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row>
    <row r="226"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row>
    <row r="227"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row>
    <row r="228"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row>
    <row r="229"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row>
    <row r="230"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row>
    <row r="231"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row>
    <row r="232"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row>
    <row r="233"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row>
    <row r="234"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row>
    <row r="235"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row>
    <row r="236"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row>
    <row r="237"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row>
    <row r="238"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row>
    <row r="239"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row>
    <row r="240"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row>
    <row r="241"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row>
    <row r="242"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row>
    <row r="243"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row>
    <row r="244"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row>
    <row r="245"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row>
    <row r="246"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row>
    <row r="247"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row>
    <row r="248"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row>
    <row r="249"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row>
    <row r="250"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row>
    <row r="251"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row>
    <row r="252"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row>
    <row r="253"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row>
    <row r="254"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row>
    <row r="255"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row>
    <row r="256"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row>
    <row r="257"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row>
    <row r="258"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row>
    <row r="259"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row>
    <row r="260"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row>
    <row r="261"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row>
    <row r="262"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row>
    <row r="263"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row>
    <row r="264"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row>
    <row r="265"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row>
    <row r="266"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row>
    <row r="267"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row>
    <row r="268"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row>
    <row r="269"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row>
    <row r="270"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row>
    <row r="271"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row>
    <row r="272"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row>
    <row r="273"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row>
    <row r="274"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row>
    <row r="275"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row>
    <row r="276"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row>
    <row r="277"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row>
    <row r="278"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row>
    <row r="279"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row>
    <row r="280"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row>
    <row r="281"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row>
    <row r="282"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row>
    <row r="283"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row>
    <row r="284"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row>
    <row r="285"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row>
    <row r="286"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row>
    <row r="287"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row>
    <row r="288"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row>
    <row r="289"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row>
    <row r="290"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row>
    <row r="291"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row>
    <row r="292"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row>
    <row r="293"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row>
    <row r="294"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row>
    <row r="295"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row>
    <row r="296"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row>
    <row r="297"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row>
    <row r="298"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row>
    <row r="299"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row>
    <row r="300"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row>
    <row r="301"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row>
    <row r="302"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row>
    <row r="303"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row>
    <row r="304"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row>
    <row r="305"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row>
    <row r="306"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row>
    <row r="307"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row>
    <row r="308"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row>
    <row r="309"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row>
    <row r="310"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row>
    <row r="311"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row>
    <row r="312"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row>
    <row r="313"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row>
    <row r="314"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row>
    <row r="315"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row>
    <row r="316"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row>
    <row r="317"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row>
    <row r="318"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row>
    <row r="319"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row>
    <row r="320"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row>
    <row r="321"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row>
    <row r="322"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row>
    <row r="323"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row>
    <row r="324"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row>
    <row r="325"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row>
    <row r="326"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row>
    <row r="327"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row>
    <row r="328"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row>
    <row r="329"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row>
    <row r="330"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row>
    <row r="331"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row>
    <row r="332"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row>
    <row r="333"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row>
    <row r="334"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row>
    <row r="335"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row>
    <row r="336"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row>
    <row r="337"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row>
    <row r="338"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row>
    <row r="339"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row>
    <row r="340"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row>
    <row r="341"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row>
    <row r="342"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row>
    <row r="343"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row>
    <row r="344"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row>
    <row r="345"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row>
    <row r="346"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row>
    <row r="347"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row>
    <row r="348"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row>
    <row r="349"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row>
    <row r="350"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row>
    <row r="351"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row>
    <row r="352"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row>
    <row r="353"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row>
    <row r="354"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row>
    <row r="355"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row>
    <row r="356"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row>
    <row r="357"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row>
    <row r="358"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row>
    <row r="359"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row>
    <row r="360"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row>
    <row r="361"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row>
    <row r="362"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row>
    <row r="363"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row>
    <row r="364"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row>
    <row r="365"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row>
    <row r="366"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row>
    <row r="367"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row>
    <row r="368"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row>
    <row r="369"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row>
    <row r="370"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row>
    <row r="371"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row>
    <row r="372"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row>
    <row r="373"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row>
    <row r="374"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row>
    <row r="375"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row>
    <row r="376"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row>
    <row r="377"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row>
    <row r="378"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row>
    <row r="379"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row>
    <row r="380"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row>
    <row r="381"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row>
    <row r="382"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row>
    <row r="383"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row>
    <row r="384"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row>
    <row r="385"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row>
    <row r="386"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row>
    <row r="387"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row>
    <row r="388"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row>
    <row r="389"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row>
    <row r="390"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row>
    <row r="391"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row>
    <row r="392"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row>
    <row r="393"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row>
    <row r="394"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row>
    <row r="395"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row>
    <row r="396"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row>
    <row r="397"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row>
    <row r="398"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row>
    <row r="399"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row>
    <row r="400"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row>
    <row r="401"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row>
    <row r="402"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row>
    <row r="403"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row>
    <row r="404"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row>
    <row r="405"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row>
    <row r="406"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row>
    <row r="407"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row>
    <row r="408"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row>
    <row r="409"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row>
    <row r="410"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row>
    <row r="411"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row>
    <row r="412"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row>
    <row r="413"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row>
    <row r="414"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row>
    <row r="415"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row>
    <row r="416"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row>
    <row r="417"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row>
    <row r="418"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row>
    <row r="419"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row>
    <row r="420"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row>
    <row r="421"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row>
    <row r="422"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row>
    <row r="423"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row>
    <row r="424"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row>
    <row r="425"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row>
    <row r="426"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row>
    <row r="427"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row>
    <row r="428"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row>
    <row r="429"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row>
    <row r="430"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row>
    <row r="431"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row>
    <row r="432"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row>
    <row r="433"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row>
    <row r="434"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row>
    <row r="435"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row>
    <row r="436"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row>
    <row r="437"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row>
    <row r="438"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row>
    <row r="439"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row>
    <row r="440"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row>
    <row r="441"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row>
    <row r="442"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row>
    <row r="443"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row>
    <row r="444"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row>
    <row r="445"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row>
    <row r="446"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row>
    <row r="447"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row>
    <row r="448"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row>
    <row r="449"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row>
    <row r="450"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row>
    <row r="451"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row>
    <row r="452"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row>
    <row r="453"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row>
    <row r="454"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row>
    <row r="455"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row>
    <row r="456"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row>
    <row r="457"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row>
    <row r="458"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row>
    <row r="459"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row>
    <row r="460"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row>
    <row r="461"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row>
    <row r="462"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row>
    <row r="463"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row>
    <row r="464"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row>
    <row r="465"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row>
    <row r="466"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row>
    <row r="467"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row>
    <row r="468"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row>
    <row r="469"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row>
    <row r="470"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row>
    <row r="471"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row>
    <row r="472"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row>
    <row r="473"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row>
    <row r="474"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row>
    <row r="475"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row>
    <row r="476"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row>
    <row r="477"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row>
    <row r="478"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row>
    <row r="479"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row>
    <row r="480"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row>
    <row r="481"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row>
    <row r="482"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row>
    <row r="483"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row>
    <row r="484"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row>
    <row r="485"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row>
    <row r="486"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row>
    <row r="487"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row>
    <row r="488"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row>
    <row r="489"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row>
    <row r="490"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row>
    <row r="491"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row>
    <row r="492"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row>
    <row r="493"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row>
    <row r="494"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row>
    <row r="495"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row>
    <row r="496"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row>
    <row r="497"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row>
    <row r="498"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row>
    <row r="499"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row>
    <row r="500"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row>
    <row r="501"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row>
    <row r="502"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row>
    <row r="503"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row>
    <row r="504"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row>
    <row r="505"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row>
    <row r="506"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row>
    <row r="507"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row>
    <row r="508"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row>
    <row r="509"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row>
    <row r="510"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row>
    <row r="511"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row>
    <row r="512"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row>
    <row r="513"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row>
    <row r="514"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row>
    <row r="515"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row>
    <row r="516"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row>
    <row r="517"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row>
    <row r="518"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row>
    <row r="519"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row>
    <row r="520"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row>
    <row r="521"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row>
    <row r="522"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row>
    <row r="523"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row>
    <row r="524"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row>
    <row r="525"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row>
    <row r="526"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row>
    <row r="527"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row>
    <row r="528"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row>
    <row r="529"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row>
    <row r="530"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row>
    <row r="531"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row>
    <row r="532"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row>
    <row r="533"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row>
    <row r="534"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row>
    <row r="535"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row>
    <row r="536"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row>
    <row r="537"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row>
    <row r="538"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row>
    <row r="539"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row>
    <row r="540"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row>
    <row r="541"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row>
    <row r="542"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row>
    <row r="543"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row>
    <row r="544"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row>
    <row r="545"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row>
    <row r="546"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row>
    <row r="547"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row>
    <row r="548"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row>
    <row r="549"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row>
    <row r="550"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row>
    <row r="551"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row>
    <row r="552"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row>
    <row r="553"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row>
    <row r="554"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row>
    <row r="555"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row>
    <row r="556"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row>
    <row r="557"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row>
    <row r="558"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row>
    <row r="559"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row>
    <row r="560"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row>
    <row r="561"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row>
    <row r="562"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row>
    <row r="563"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row>
    <row r="564"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row>
    <row r="565"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row>
    <row r="566"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row>
    <row r="567"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row>
    <row r="568"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row>
    <row r="569"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row>
    <row r="570"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row>
    <row r="571"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row>
    <row r="572"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row>
    <row r="573"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row>
    <row r="574"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row>
    <row r="575"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row>
    <row r="576"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row>
    <row r="577"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row>
    <row r="578"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row>
    <row r="579"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row>
    <row r="580"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row>
    <row r="581"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row>
    <row r="582"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row>
    <row r="583"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row>
    <row r="584"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row>
    <row r="585"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row>
    <row r="586"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row>
    <row r="587"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row>
    <row r="588"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row>
    <row r="589"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row>
    <row r="590"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row>
    <row r="591"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row>
    <row r="592"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row>
    <row r="593"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row>
    <row r="594"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row>
    <row r="595"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row>
    <row r="596"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row>
    <row r="597"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row>
    <row r="598"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row>
    <row r="599"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row>
    <row r="600"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row>
    <row r="601"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row>
    <row r="602"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row>
    <row r="603"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row>
    <row r="604"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row>
    <row r="605"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row>
    <row r="606"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row>
    <row r="607"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row>
    <row r="608"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row>
    <row r="609"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row>
    <row r="610"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row>
    <row r="611"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row>
    <row r="612"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row>
    <row r="613"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row>
    <row r="614"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row>
    <row r="615"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row>
    <row r="616"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row>
    <row r="617"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row>
    <row r="618"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row>
    <row r="619"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row>
    <row r="620"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row>
    <row r="621"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row>
    <row r="622"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row>
    <row r="623"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row>
    <row r="624"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row>
    <row r="625"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row>
    <row r="626"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row>
    <row r="627"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row>
    <row r="628"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row>
    <row r="629"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row>
    <row r="630"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row>
    <row r="631"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row>
    <row r="632"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row>
    <row r="633"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row>
    <row r="634"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row>
    <row r="635"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row>
    <row r="636"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row>
    <row r="637"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row>
    <row r="638"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row>
    <row r="639"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row>
    <row r="640"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row>
    <row r="641"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row>
    <row r="642"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row>
    <row r="643"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row>
    <row r="644"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row>
    <row r="645"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row>
    <row r="646"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row>
    <row r="647"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row>
    <row r="648"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row>
    <row r="649"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row>
    <row r="650"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row>
    <row r="651"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row>
    <row r="652"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row>
    <row r="653"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row>
    <row r="654"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row>
    <row r="655"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row>
    <row r="656"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row>
    <row r="657"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row>
    <row r="658"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row>
    <row r="659"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row>
    <row r="660"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row>
    <row r="661"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row>
    <row r="662"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row>
    <row r="663"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row>
    <row r="664"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row>
    <row r="665"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row>
    <row r="666"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row>
    <row r="667"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row>
    <row r="668"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row>
    <row r="669"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row>
    <row r="670"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row>
    <row r="671"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row>
    <row r="672"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row>
    <row r="673"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row>
    <row r="674"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row>
    <row r="675"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row>
    <row r="676"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row>
    <row r="677"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row>
    <row r="678"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row>
    <row r="679"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row>
    <row r="680"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row>
    <row r="681"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row>
    <row r="682"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row>
    <row r="683"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row>
    <row r="684"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row>
    <row r="685"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row>
    <row r="686"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row>
    <row r="687"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row>
    <row r="688"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row>
    <row r="689"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row>
    <row r="690"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row>
    <row r="691"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row>
    <row r="692"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row>
    <row r="693"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row>
    <row r="694"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row>
    <row r="695"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row>
    <row r="696"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row>
    <row r="697"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row>
    <row r="698"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row>
    <row r="699"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row>
    <row r="700"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row>
    <row r="701"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row>
    <row r="702"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row>
    <row r="703"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row>
    <row r="704"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row>
    <row r="705"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row>
    <row r="706"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row>
    <row r="707"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row>
    <row r="708"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row>
    <row r="709"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row>
    <row r="710"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row>
    <row r="711"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row>
    <row r="712"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row>
    <row r="713"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row>
    <row r="714"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row>
    <row r="715"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row>
    <row r="716"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row>
    <row r="717"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row>
    <row r="718"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row>
    <row r="719"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row>
    <row r="720"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row>
    <row r="721"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row>
    <row r="722"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row>
    <row r="723"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row>
    <row r="724"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row>
    <row r="725"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row>
    <row r="726"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row>
    <row r="727"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row>
    <row r="728"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row>
    <row r="729"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row>
    <row r="730"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row>
    <row r="731"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row>
    <row r="732"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row>
    <row r="733"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row>
    <row r="734"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row>
    <row r="735"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row>
    <row r="736"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row>
    <row r="737"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row>
    <row r="738"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row>
    <row r="739"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row>
    <row r="740"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row>
    <row r="741"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row>
    <row r="742"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row>
    <row r="743"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row>
    <row r="744"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row>
    <row r="745"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row>
    <row r="746"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row>
    <row r="747"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row>
    <row r="748"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row>
    <row r="749"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row>
    <row r="750"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row>
    <row r="751"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row>
    <row r="752"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row>
    <row r="753"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row>
    <row r="754"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row>
    <row r="755"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row>
    <row r="756"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row>
    <row r="757"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row>
    <row r="758"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row>
    <row r="759"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row>
    <row r="760"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row>
    <row r="761"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row>
    <row r="762"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row>
    <row r="763"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row>
    <row r="764"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row>
    <row r="765"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row>
    <row r="766"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row>
    <row r="767"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row>
    <row r="768"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row>
    <row r="769"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row>
    <row r="770"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row>
    <row r="771"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row>
    <row r="772"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row>
    <row r="773"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row>
    <row r="774"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row>
    <row r="775"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row>
    <row r="776"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row>
    <row r="777"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row>
    <row r="778"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row>
    <row r="779"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row>
    <row r="780"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row>
    <row r="781"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row>
    <row r="782"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row>
    <row r="783"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row>
    <row r="784"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row>
    <row r="785"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row>
    <row r="786"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row>
    <row r="787"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row>
    <row r="788"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row>
    <row r="789"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row>
    <row r="790"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row>
    <row r="791"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row>
    <row r="792"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row>
    <row r="793"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row>
    <row r="794"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row>
    <row r="795"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row>
    <row r="796"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row>
    <row r="797"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row>
    <row r="798"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row>
    <row r="799"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row>
    <row r="800"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row>
    <row r="801"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row>
    <row r="802"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row>
    <row r="803"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row>
    <row r="804"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row>
    <row r="805"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row>
    <row r="806"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row>
    <row r="807"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row>
    <row r="808"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row>
    <row r="809"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row>
    <row r="810"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row>
    <row r="811"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row>
    <row r="812"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row>
    <row r="813"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row>
    <row r="814"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row>
    <row r="815"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row>
    <row r="816"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row>
    <row r="817"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row>
    <row r="818"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row>
    <row r="819"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row>
    <row r="820"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row>
    <row r="821"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row>
    <row r="822"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row>
    <row r="823"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row>
    <row r="824"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row>
    <row r="825"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row>
    <row r="826"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row>
    <row r="827"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row>
    <row r="828"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row>
    <row r="829"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row>
    <row r="830"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row>
    <row r="831"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row>
    <row r="832"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row>
    <row r="833"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row>
    <row r="834"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row>
    <row r="835"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row>
    <row r="836"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row>
    <row r="837"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row>
    <row r="838"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row>
    <row r="839"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row>
    <row r="840"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row>
    <row r="841"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row>
    <row r="842"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row>
    <row r="843"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row>
    <row r="844"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row>
    <row r="845"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row>
    <row r="846"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row>
    <row r="847"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row>
    <row r="848"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row>
    <row r="849"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row>
    <row r="850"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row>
    <row r="851"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row>
    <row r="852"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row>
    <row r="853"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row>
    <row r="854"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row>
    <row r="855"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row>
    <row r="856"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row>
    <row r="857"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row>
    <row r="858"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row>
    <row r="859"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row>
    <row r="860"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row>
    <row r="861"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row>
    <row r="862"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row>
    <row r="863"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row>
    <row r="864"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row>
    <row r="865"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row>
    <row r="866"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row>
    <row r="867"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row>
    <row r="868"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row>
    <row r="869"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row>
    <row r="870"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row>
    <row r="871"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row>
    <row r="872"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row>
    <row r="873"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row>
    <row r="874"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row>
    <row r="875"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row>
    <row r="876"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row>
    <row r="877"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row>
    <row r="878"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row>
    <row r="879"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row>
    <row r="880"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row>
    <row r="881"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row>
    <row r="882"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row>
    <row r="883"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row>
    <row r="884"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row>
    <row r="885"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row>
    <row r="886"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row>
    <row r="887"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row>
    <row r="888"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row>
    <row r="889"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row>
    <row r="890"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row>
    <row r="891"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row>
    <row r="892"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row>
    <row r="893"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row>
    <row r="894"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row>
    <row r="895"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row>
    <row r="896"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row>
    <row r="897"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row>
    <row r="898"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row>
    <row r="899"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row>
    <row r="900"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row>
    <row r="901"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row>
    <row r="902"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row>
    <row r="903"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row>
    <row r="904"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row>
    <row r="905"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row>
    <row r="906"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row>
    <row r="907"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row>
    <row r="908"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row>
    <row r="909"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row>
    <row r="910"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row>
    <row r="911"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row>
    <row r="912"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row>
    <row r="913"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row>
    <row r="914"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row>
    <row r="915"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row>
    <row r="916"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row>
    <row r="917"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row>
    <row r="918"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row>
    <row r="919"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row>
    <row r="920"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row>
    <row r="921"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row>
    <row r="922"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row>
    <row r="923"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row>
    <row r="924"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row>
    <row r="925"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row>
    <row r="926"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row>
    <row r="927"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row>
    <row r="928"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row>
    <row r="929"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row>
    <row r="930"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row>
    <row r="931"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row>
    <row r="932"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row>
    <row r="933"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row>
    <row r="934"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row>
    <row r="935"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row>
    <row r="936"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row>
    <row r="937"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row>
    <row r="938"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row>
    <row r="939"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row>
    <row r="940"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row>
    <row r="941"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row>
    <row r="942"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row>
    <row r="943"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row>
    <row r="944"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row>
    <row r="945"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row>
    <row r="946"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row>
    <row r="947"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row>
    <row r="948"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row>
    <row r="949"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row>
    <row r="950"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row>
    <row r="951"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row>
    <row r="952"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row>
    <row r="953"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row>
    <row r="954"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row>
    <row r="955"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row>
    <row r="956"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row>
    <row r="957"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row>
    <row r="958"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row>
    <row r="959"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row>
    <row r="960"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row>
    <row r="961"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row>
    <row r="962"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row>
    <row r="963"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row>
    <row r="964"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row>
    <row r="965"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row>
    <row r="966" ht="15.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row>
    <row r="967" ht="15.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row>
    <row r="968" ht="15.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row>
    <row r="969" ht="15.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row>
    <row r="970" ht="15.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row>
    <row r="971" ht="15.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row>
    <row r="972" ht="15.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row>
    <row r="973" ht="15.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row>
    <row r="974" ht="15.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row>
    <row r="975" ht="15.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row>
    <row r="976" ht="15.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row>
    <row r="977" ht="15.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row>
    <row r="978" ht="15.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row>
    <row r="979" ht="15.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row>
    <row r="980" ht="15.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row>
    <row r="981" ht="15.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row>
    <row r="982" ht="15.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row>
    <row r="983" ht="15.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row>
    <row r="984" ht="15.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row>
    <row r="985" ht="15.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row>
    <row r="986" ht="15.7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row>
    <row r="987" ht="15.75"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row>
    <row r="988" ht="15.75"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row>
    <row r="989" ht="15.75"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row>
    <row r="990" ht="15.75"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row>
    <row r="991" ht="15.75"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row>
    <row r="992" ht="15.75"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row>
    <row r="993" ht="15.75"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row>
    <row r="994" ht="15.75"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row>
    <row r="995" ht="15.75"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row>
    <row r="996" ht="15.75"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row>
    <row r="997" ht="15.75"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row>
    <row r="998" ht="15.75"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row>
    <row r="999" ht="15.75"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row>
    <row r="1000" ht="15.75"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row>
  </sheetData>
  <mergeCells count="22">
    <mergeCell ref="B2:D2"/>
    <mergeCell ref="E2:G2"/>
    <mergeCell ref="H2:J2"/>
    <mergeCell ref="K2:M2"/>
    <mergeCell ref="N2:P2"/>
    <mergeCell ref="Q2:S2"/>
    <mergeCell ref="T2:V2"/>
    <mergeCell ref="D12:E12"/>
    <mergeCell ref="G12:H12"/>
    <mergeCell ref="B19:F19"/>
    <mergeCell ref="I12:J12"/>
    <mergeCell ref="L12:M12"/>
    <mergeCell ref="N12:O12"/>
    <mergeCell ref="Q12:R12"/>
    <mergeCell ref="B11:F11"/>
    <mergeCell ref="G11:K11"/>
    <mergeCell ref="L11:P11"/>
    <mergeCell ref="Q11:U11"/>
    <mergeCell ref="V11:Z11"/>
    <mergeCell ref="AA11:AE11"/>
    <mergeCell ref="B12:C12"/>
    <mergeCell ref="S12:T12"/>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workbookViewId="0">
      <pane xSplit="1.0" topLeftCell="B1" activePane="topRight" state="frozen"/>
      <selection activeCell="C2" sqref="C2" pane="topRight"/>
    </sheetView>
  </sheetViews>
  <sheetFormatPr customHeight="1" defaultColWidth="12.63" defaultRowHeight="15.0"/>
  <cols>
    <col customWidth="1" min="1" max="10" width="11.13"/>
    <col customWidth="1" min="11" max="11" width="11.25"/>
    <col customWidth="1" min="12" max="29" width="11.13"/>
  </cols>
  <sheetData>
    <row r="1" ht="15.75" customHeight="1">
      <c r="A1" s="24" t="s">
        <v>119</v>
      </c>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row>
    <row r="2" ht="15.75" customHeight="1">
      <c r="A2" s="26"/>
      <c r="B2" s="31">
        <v>2019.0</v>
      </c>
      <c r="C2" s="6"/>
      <c r="D2" s="7"/>
      <c r="E2" s="31">
        <v>2020.0</v>
      </c>
      <c r="F2" s="6"/>
      <c r="G2" s="7"/>
      <c r="H2" s="31">
        <v>2021.0</v>
      </c>
      <c r="I2" s="6"/>
      <c r="J2" s="7"/>
      <c r="K2" s="31">
        <v>2022.0</v>
      </c>
      <c r="L2" s="6"/>
      <c r="M2" s="7"/>
      <c r="N2" s="31">
        <v>2023.0</v>
      </c>
      <c r="O2" s="6"/>
      <c r="P2" s="7"/>
      <c r="Q2" s="31">
        <v>2024.0</v>
      </c>
      <c r="R2" s="6"/>
      <c r="S2" s="7"/>
      <c r="T2" s="31">
        <v>2025.0</v>
      </c>
      <c r="U2" s="6"/>
      <c r="V2" s="7"/>
      <c r="AC2" s="24"/>
    </row>
    <row r="3" ht="15.75" customHeight="1">
      <c r="A3" s="26"/>
      <c r="B3" s="26" t="s">
        <v>120</v>
      </c>
      <c r="C3" s="26" t="s">
        <v>121</v>
      </c>
      <c r="D3" s="26" t="s">
        <v>122</v>
      </c>
      <c r="E3" s="55" t="s">
        <v>120</v>
      </c>
      <c r="F3" s="55" t="s">
        <v>121</v>
      </c>
      <c r="G3" s="55" t="s">
        <v>122</v>
      </c>
      <c r="H3" s="55" t="s">
        <v>120</v>
      </c>
      <c r="I3" s="55" t="s">
        <v>121</v>
      </c>
      <c r="J3" s="55" t="s">
        <v>122</v>
      </c>
      <c r="K3" s="55" t="s">
        <v>120</v>
      </c>
      <c r="L3" s="55" t="s">
        <v>121</v>
      </c>
      <c r="M3" s="122" t="s">
        <v>122</v>
      </c>
      <c r="N3" s="55" t="s">
        <v>120</v>
      </c>
      <c r="O3" s="55" t="s">
        <v>121</v>
      </c>
      <c r="P3" s="122" t="s">
        <v>122</v>
      </c>
      <c r="Q3" s="55" t="s">
        <v>120</v>
      </c>
      <c r="R3" s="55" t="s">
        <v>121</v>
      </c>
      <c r="S3" s="55" t="s">
        <v>122</v>
      </c>
      <c r="T3" s="55" t="s">
        <v>120</v>
      </c>
      <c r="U3" s="55" t="s">
        <v>121</v>
      </c>
      <c r="V3" s="55" t="s">
        <v>122</v>
      </c>
      <c r="AC3" s="24"/>
    </row>
    <row r="4" ht="15.75" customHeight="1">
      <c r="A4" s="55" t="s">
        <v>74</v>
      </c>
      <c r="B4" s="123">
        <f>58468/549430*100</f>
        <v>10.64157399</v>
      </c>
      <c r="C4" s="123">
        <f>58976/557729*100</f>
        <v>10.57431118</v>
      </c>
      <c r="D4" s="123">
        <f>117444/1107159*100</f>
        <v>10.60769049</v>
      </c>
      <c r="E4" s="123">
        <f>59109/549853*100</f>
        <v>10.74996408</v>
      </c>
      <c r="F4" s="123">
        <f>59936/558273*100</f>
        <v>10.7359661</v>
      </c>
      <c r="G4" s="123">
        <f>119045/1108126*100</f>
        <v>10.74291191</v>
      </c>
      <c r="H4" s="123">
        <f>60846/548139*100</f>
        <v>11.10046904</v>
      </c>
      <c r="I4" s="123">
        <f>60888/555417*100</f>
        <v>10.96257407</v>
      </c>
      <c r="J4" s="123">
        <f>121734/1103556*100</f>
        <v>11.03106684</v>
      </c>
      <c r="K4" s="123">
        <f>59355/548284*100</f>
        <v>10.82559404</v>
      </c>
      <c r="L4" s="123">
        <f>59526/554713*100</f>
        <v>10.73095457</v>
      </c>
      <c r="M4" s="123">
        <f>118881/1102997*100</f>
        <v>10.77799849</v>
      </c>
      <c r="N4" s="123">
        <f>59856/549975*100</f>
        <v>10.88340379</v>
      </c>
      <c r="O4" s="123">
        <f>60965/556328*100</f>
        <v>10.95846335</v>
      </c>
      <c r="P4" s="123">
        <f>120821/1106303*100</f>
        <v>10.92114909</v>
      </c>
      <c r="Q4" s="123">
        <f>61774/552702*100</f>
        <v>11.17672815</v>
      </c>
      <c r="R4" s="123">
        <f>62060/557725*100</f>
        <v>11.12734771</v>
      </c>
      <c r="S4" s="123">
        <f>123834/1110427*100</f>
        <v>11.15192624</v>
      </c>
      <c r="T4" s="123">
        <f>63112/555833*100</f>
        <v>11.35448957</v>
      </c>
      <c r="U4" s="123">
        <f>63236/559204*100</f>
        <v>11.30821668</v>
      </c>
      <c r="V4" s="123">
        <f>126348/1115037*100</f>
        <v>11.33128318</v>
      </c>
      <c r="W4" s="124"/>
      <c r="X4" s="124"/>
      <c r="Y4" s="124"/>
      <c r="Z4" s="124"/>
      <c r="AA4" s="124"/>
      <c r="AC4" s="24"/>
    </row>
    <row r="5" ht="15.75" customHeight="1">
      <c r="A5" s="125" t="s">
        <v>44</v>
      </c>
      <c r="B5" s="126">
        <f>74348/618924*100</f>
        <v>12.01246033</v>
      </c>
      <c r="C5" s="127">
        <f>77180/635495*100</f>
        <v>12.14486345</v>
      </c>
      <c r="D5" s="123">
        <f>151528/1254419*100</f>
        <v>12.07953642</v>
      </c>
      <c r="E5" s="123">
        <f>74276/619811*100</f>
        <v>11.98365308</v>
      </c>
      <c r="F5" s="123">
        <f>77544/635626*100</f>
        <v>12.19962682</v>
      </c>
      <c r="G5" s="123">
        <f>151820/1255437*100</f>
        <v>12.09300029</v>
      </c>
      <c r="H5" s="123">
        <f>77537/621517*100</f>
        <v>12.47544315</v>
      </c>
      <c r="I5" s="123">
        <f>78171/634192*100</f>
        <v>12.32607791</v>
      </c>
      <c r="J5" s="123">
        <f>155798/1255709*100</f>
        <v>12.40717396</v>
      </c>
      <c r="K5" s="123">
        <f>76258/620830*100</f>
        <v>12.28323374</v>
      </c>
      <c r="L5" s="123">
        <f>76597/632327*100</f>
        <v>12.11351089</v>
      </c>
      <c r="M5" s="123">
        <f>152855/1253157*100</f>
        <v>12.19759376</v>
      </c>
      <c r="N5" s="123">
        <f>74864/623202*100</f>
        <v>12.01279842</v>
      </c>
      <c r="O5" s="123">
        <f>75519/634124*100</f>
        <v>11.90918495</v>
      </c>
      <c r="P5" s="123">
        <f>150383/1257326*100</f>
        <v>11.96054166</v>
      </c>
      <c r="Q5" s="123">
        <f>76804/625870*100</f>
        <v>12.27155799</v>
      </c>
      <c r="R5" s="123">
        <f>76683/635085*100</f>
        <v>12.07444673</v>
      </c>
      <c r="S5" s="123">
        <f>153487/1260955*100</f>
        <v>12.17228212</v>
      </c>
      <c r="T5" s="123">
        <f>78148/629599*100</f>
        <v>12.412345</v>
      </c>
      <c r="U5" s="123">
        <f>77058/636539*100</f>
        <v>12.10577828</v>
      </c>
      <c r="V5" s="123">
        <f>155208/1266138*100</f>
        <v>12.25837942</v>
      </c>
      <c r="W5" s="128"/>
      <c r="X5" s="128"/>
      <c r="Y5" s="128"/>
      <c r="Z5" s="128"/>
      <c r="AA5" s="128"/>
      <c r="AC5" s="24"/>
    </row>
    <row r="6" ht="15.75" customHeight="1">
      <c r="A6" s="55" t="s">
        <v>75</v>
      </c>
      <c r="B6" s="123">
        <f>22957/293627*100</f>
        <v>7.818422693</v>
      </c>
      <c r="C6" s="123">
        <f>25487/304180*100</f>
        <v>8.378920376</v>
      </c>
      <c r="D6" s="123">
        <f>48444/597807*100</f>
        <v>8.103618726</v>
      </c>
      <c r="E6" s="123">
        <f>22950/293740*100</f>
        <v>7.813031933</v>
      </c>
      <c r="F6" s="123">
        <f>25361/303902*100</f>
        <v>8.345124415</v>
      </c>
      <c r="G6" s="123">
        <f>48311/597642*100</f>
        <v>8.083601889</v>
      </c>
      <c r="H6" s="123">
        <f>22092/293322*100</f>
        <v>7.531654632</v>
      </c>
      <c r="I6" s="123">
        <f>24578/303134*100</f>
        <v>8.107965454</v>
      </c>
      <c r="J6" s="123">
        <f>46670/596456*100</f>
        <v>7.824550344</v>
      </c>
      <c r="K6" s="123">
        <f>21812/292781*100</f>
        <v>7.449936984</v>
      </c>
      <c r="L6" s="123">
        <f>23890/302160*100</f>
        <v>7.906407201</v>
      </c>
      <c r="M6" s="123">
        <f>45702/594941*100</f>
        <v>7.681770125</v>
      </c>
      <c r="N6" s="123">
        <f>22259/293870*100</f>
        <v>7.574437677</v>
      </c>
      <c r="O6" s="123">
        <f>24890/303247*100</f>
        <v>8.20783058</v>
      </c>
      <c r="P6" s="123">
        <f>47149/597117*100</f>
        <v>7.896107463</v>
      </c>
      <c r="Q6" s="123">
        <f>23161/294649*100</f>
        <v>7.86053915</v>
      </c>
      <c r="R6" s="123">
        <f>25367/303300*100</f>
        <v>8.363666337</v>
      </c>
      <c r="S6" s="123">
        <f>48528/597949*100</f>
        <v>8.115742312</v>
      </c>
      <c r="T6" s="123">
        <f>24462/295133*100</f>
        <v>8.288466556</v>
      </c>
      <c r="U6" s="123">
        <f>26139/303200*100</f>
        <v>8.621042216</v>
      </c>
      <c r="V6" s="123">
        <f>50601/598333*100</f>
        <v>8.456996355</v>
      </c>
      <c r="W6" s="128"/>
      <c r="X6" s="128"/>
      <c r="Y6" s="128"/>
      <c r="Z6" s="128"/>
      <c r="AA6" s="128"/>
      <c r="AC6" s="24"/>
    </row>
    <row r="7" ht="15.75" customHeight="1">
      <c r="A7" s="55" t="s">
        <v>77</v>
      </c>
      <c r="B7" s="123">
        <f>20452/175540*100</f>
        <v>11.65090578</v>
      </c>
      <c r="C7" s="123">
        <f>20615/180610*100</f>
        <v>11.41409667</v>
      </c>
      <c r="D7" s="123">
        <f>41067/356150*100</f>
        <v>11.53081567</v>
      </c>
      <c r="E7" s="123">
        <f>20640/175602*100</f>
        <v>11.75385246</v>
      </c>
      <c r="F7" s="123">
        <f>20885/180306*100</f>
        <v>11.58308653</v>
      </c>
      <c r="G7" s="123">
        <f>41525/355908*100</f>
        <v>11.667341</v>
      </c>
      <c r="H7" s="123">
        <f>21030/173930*100</f>
        <v>12.09107112</v>
      </c>
      <c r="I7" s="123">
        <f>21001/178312*100</f>
        <v>11.7776706</v>
      </c>
      <c r="J7" s="123">
        <f>42031/352242*100</f>
        <v>11.93242146</v>
      </c>
      <c r="K7" s="123">
        <f>20946/173826*100</f>
        <v>12.04998102</v>
      </c>
      <c r="L7" s="123">
        <f>20707/177828*100</f>
        <v>11.64439796</v>
      </c>
      <c r="M7" s="123">
        <f>41653/351654*100</f>
        <v>11.84488162</v>
      </c>
      <c r="N7" s="123">
        <f>21277/174232*100</f>
        <v>12.21187841</v>
      </c>
      <c r="O7" s="123">
        <f>21206/177957*100</f>
        <v>11.91636182</v>
      </c>
      <c r="P7" s="123">
        <f>42483/352189*100</f>
        <v>12.06255732</v>
      </c>
      <c r="Q7" s="123">
        <f>21832/175015*100</f>
        <v>12.47435934</v>
      </c>
      <c r="R7" s="123">
        <f>21600/177950*100</f>
        <v>12.13824108</v>
      </c>
      <c r="S7" s="123">
        <f>43432/352965*100</f>
        <v>12.30490275</v>
      </c>
      <c r="T7" s="123">
        <f>22766/175976*100</f>
        <v>12.93699141</v>
      </c>
      <c r="U7" s="123">
        <f>22017/178019*100</f>
        <v>12.36778097</v>
      </c>
      <c r="V7" s="123">
        <f>44783/353995*100</f>
        <v>12.65074365</v>
      </c>
      <c r="W7" s="128"/>
      <c r="X7" s="128"/>
      <c r="Y7" s="128"/>
      <c r="Z7" s="128"/>
      <c r="AA7" s="128"/>
      <c r="AC7" s="24"/>
    </row>
    <row r="8" ht="15.75" customHeight="1">
      <c r="A8" s="55" t="s">
        <v>78</v>
      </c>
      <c r="B8" s="123">
        <f>13387/165523*100</f>
        <v>8.087697782</v>
      </c>
      <c r="C8" s="123">
        <f>13692/170031*100</f>
        <v>8.052649223</v>
      </c>
      <c r="D8" s="123">
        <f>27079/335554*100</f>
        <v>8.069938073</v>
      </c>
      <c r="E8" s="123">
        <f>13421/165229*100</f>
        <v>8.122666118</v>
      </c>
      <c r="F8" s="123">
        <f>13790/169732*100</f>
        <v>8.124572856</v>
      </c>
      <c r="G8" s="123">
        <f>27211/334961*100</f>
        <v>8.123632303</v>
      </c>
      <c r="H8" s="123">
        <f>13252/164689*100</f>
        <v>8.046681928</v>
      </c>
      <c r="I8" s="123">
        <f>13520/168880*100</f>
        <v>8.00568451</v>
      </c>
      <c r="J8" s="123">
        <f>26772/333569*100</f>
        <v>8.025925671</v>
      </c>
      <c r="K8" s="123">
        <f>12754/164165*100</f>
        <v>7.769012883</v>
      </c>
      <c r="L8" s="123">
        <f>13236/168292*100</f>
        <v>7.864901481</v>
      </c>
      <c r="M8" s="123">
        <f>25990/332457*100</f>
        <v>7.817552345</v>
      </c>
      <c r="N8" s="123">
        <f>13195/164366*100</f>
        <v>8.027815972</v>
      </c>
      <c r="O8" s="123">
        <f>13767/168409*100</f>
        <v>8.174741255</v>
      </c>
      <c r="P8" s="123">
        <f>26962/332775*100</f>
        <v>8.102171137</v>
      </c>
      <c r="Q8" s="123">
        <f>13259/164807*100</f>
        <v>8.045167984</v>
      </c>
      <c r="R8" s="123">
        <f>13776/168463*100</f>
        <v>8.177463301</v>
      </c>
      <c r="S8" s="123">
        <f>27035/333270*100</f>
        <v>8.112041288</v>
      </c>
      <c r="T8" s="123">
        <f>13909/165413*100</f>
        <v>8.408649864</v>
      </c>
      <c r="U8" s="123">
        <f>14122/168391*100</f>
        <v>8.386433954</v>
      </c>
      <c r="V8" s="123">
        <f>28031/333804*100</f>
        <v>8.397442811</v>
      </c>
      <c r="W8" s="128"/>
      <c r="X8" s="128"/>
      <c r="Y8" s="128"/>
      <c r="Z8" s="128"/>
      <c r="AA8" s="128"/>
      <c r="AC8" s="24"/>
    </row>
    <row r="9" ht="15.75" customHeight="1">
      <c r="A9" s="55" t="s">
        <v>79</v>
      </c>
      <c r="B9" s="123">
        <f>13339/112069*100</f>
        <v>11.90248865</v>
      </c>
      <c r="C9" s="123">
        <f>13459/114880*100</f>
        <v>11.71570334</v>
      </c>
      <c r="D9" s="123">
        <f>26798/226949*100</f>
        <v>11.80793923</v>
      </c>
      <c r="E9" s="123">
        <f>13531/112331*100</f>
        <v>12.0456508</v>
      </c>
      <c r="F9" s="123">
        <f>13688/115081*100</f>
        <v>11.89423102</v>
      </c>
      <c r="G9" s="123">
        <f>27219/227412*100</f>
        <v>11.96902538</v>
      </c>
      <c r="H9" s="123">
        <f>13967/112568*100</f>
        <v>12.4076114</v>
      </c>
      <c r="I9" s="123">
        <f>13816/114775*100</f>
        <v>12.0374646</v>
      </c>
      <c r="J9" s="123">
        <f>27783/227343*100</f>
        <v>12.22074135</v>
      </c>
      <c r="K9" s="123">
        <f>14347/112645*100</f>
        <v>12.73647299</v>
      </c>
      <c r="L9" s="123">
        <f>14088/114682*100</f>
        <v>12.28440383</v>
      </c>
      <c r="M9" s="123">
        <f>28435/227327*100</f>
        <v>12.50841299</v>
      </c>
      <c r="N9" s="123">
        <f>14646/113286*100</f>
        <v>12.92834066</v>
      </c>
      <c r="O9" s="123">
        <f>14269/114850*100</f>
        <v>12.42403135</v>
      </c>
      <c r="P9" s="123">
        <f>28915/228136*100</f>
        <v>12.67445734</v>
      </c>
      <c r="Q9" s="123">
        <f>14861/114084*100</f>
        <v>13.02636654</v>
      </c>
      <c r="R9" s="123">
        <f>14211/115389*100</f>
        <v>12.315732</v>
      </c>
      <c r="S9" s="123">
        <f>29072/229473*100</f>
        <v>12.6690286</v>
      </c>
      <c r="T9" s="123">
        <f>15512/115951*100</f>
        <v>13.37806487</v>
      </c>
      <c r="U9" s="123">
        <f>14510/115496*100</f>
        <v>12.56320565</v>
      </c>
      <c r="V9" s="123">
        <f>30022/230447*100</f>
        <v>13.02772438</v>
      </c>
      <c r="W9" s="128"/>
      <c r="X9" s="128"/>
      <c r="Y9" s="128"/>
      <c r="Z9" s="128"/>
      <c r="AA9" s="128"/>
      <c r="AC9" s="24"/>
    </row>
    <row r="10" ht="15.75" customHeight="1">
      <c r="A10" s="55" t="s">
        <v>80</v>
      </c>
      <c r="B10" s="123">
        <f>25107/200525*100</f>
        <v>12.52063334</v>
      </c>
      <c r="C10" s="123">
        <f>25343/207326*100</f>
        <v>12.22374425</v>
      </c>
      <c r="D10" s="123">
        <f>50450/407851*100</f>
        <v>12.36971345</v>
      </c>
      <c r="E10" s="123">
        <f>25444/200102*100</f>
        <v>12.71551509</v>
      </c>
      <c r="F10" s="123">
        <f>25861/206817*100</f>
        <v>12.50429123</v>
      </c>
      <c r="G10" s="123">
        <f>51305/406919*100</f>
        <v>12.60816035</v>
      </c>
      <c r="H10" s="123">
        <f>26878/200269*100</f>
        <v>13.42094882</v>
      </c>
      <c r="I10" s="123">
        <f>26681/205792*100</f>
        <v>12.96503265</v>
      </c>
      <c r="J10" s="123">
        <f>53559/406061*100</f>
        <v>13.18989019</v>
      </c>
      <c r="K10" s="123">
        <f>26625/199603*100</f>
        <v>13.33897787</v>
      </c>
      <c r="L10" s="123">
        <f>26543/204873*100</f>
        <v>12.95583117</v>
      </c>
      <c r="M10" s="123">
        <f>53168/404476*100</f>
        <v>13.14490847</v>
      </c>
      <c r="N10" s="123">
        <f>27552/200727*100</f>
        <v>13.72610561</v>
      </c>
      <c r="O10" s="123">
        <f>27592/205392*100</f>
        <v>13.4338241</v>
      </c>
      <c r="P10" s="123">
        <f>55144/406119*100</f>
        <v>13.57828617</v>
      </c>
      <c r="Q10" s="123">
        <f>28717/201633*100</f>
        <v>14.24221234</v>
      </c>
      <c r="R10" s="123">
        <f>28317/205369*100</f>
        <v>13.7883517</v>
      </c>
      <c r="S10" s="123">
        <f>57034/407002*100</f>
        <v>14.01319895</v>
      </c>
      <c r="T10" s="123">
        <f>28723/202279*100</f>
        <v>14.19969448</v>
      </c>
      <c r="U10" s="123">
        <f>28167/205033*100</f>
        <v>13.73778855</v>
      </c>
      <c r="V10" s="123">
        <f>56890/407312*100</f>
        <v>13.96717995</v>
      </c>
      <c r="W10" s="128"/>
      <c r="X10" s="128"/>
      <c r="Y10" s="128"/>
      <c r="Z10" s="128"/>
      <c r="AA10" s="128"/>
      <c r="AB10" s="24"/>
      <c r="AC10" s="24"/>
    </row>
    <row r="11" ht="15.75" customHeight="1">
      <c r="A11" s="55" t="s">
        <v>81</v>
      </c>
      <c r="B11" s="123">
        <f>219957/1576705*100</f>
        <v>13.95042192</v>
      </c>
      <c r="C11" s="123">
        <f>227751/1673372*100</f>
        <v>13.61030303</v>
      </c>
      <c r="D11" s="123">
        <f>447708/3250077*100</f>
        <v>13.7753044</v>
      </c>
      <c r="E11" s="123">
        <f>225786/1585425*100</f>
        <v>14.24135484</v>
      </c>
      <c r="F11" s="123">
        <f>233345/1679902*100</f>
        <v>13.89039361</v>
      </c>
      <c r="G11" s="123">
        <f>459131/3265327*100</f>
        <v>14.06079697</v>
      </c>
      <c r="H11" s="123">
        <f>242101/1575337*100</f>
        <v>15.36820376</v>
      </c>
      <c r="I11" s="123">
        <f>247307/1666476*100</f>
        <v>14.84011771</v>
      </c>
      <c r="J11" s="123">
        <f>489408/3241813*100</f>
        <v>15.09673754</v>
      </c>
      <c r="K11" s="123">
        <f>230163/1564438*100</f>
        <v>14.71218418</v>
      </c>
      <c r="L11" s="123">
        <f>233428/1650192*100</f>
        <v>14.14550549</v>
      </c>
      <c r="M11" s="123">
        <f>463591/3214630*100</f>
        <v>14.42128643</v>
      </c>
      <c r="N11" s="123">
        <f>235720/1572189*100</f>
        <v>14.99310833</v>
      </c>
      <c r="O11" s="123">
        <f>239451/1655817*100</f>
        <v>14.46119952</v>
      </c>
      <c r="P11" s="123">
        <f>475171/3228006*100</f>
        <v>14.72026384</v>
      </c>
      <c r="Q11" s="123">
        <f>244071/1584904*100</f>
        <v>15.39973399</v>
      </c>
      <c r="R11" s="123">
        <f>243029/1660555*100</f>
        <v>14.63540804</v>
      </c>
      <c r="S11" s="123">
        <f>487100/3245459*100</f>
        <v>15.00866287</v>
      </c>
      <c r="T11" s="123">
        <f>249355/1587719*100</f>
        <v>15.70523499</v>
      </c>
      <c r="U11" s="123">
        <f>246307/1659904*100</f>
        <v>14.83862922</v>
      </c>
      <c r="V11" s="123">
        <f>495662/3247623*100</f>
        <v>15.26230107</v>
      </c>
      <c r="W11" s="128"/>
      <c r="X11" s="128"/>
      <c r="Y11" s="128"/>
      <c r="Z11" s="128"/>
      <c r="AA11" s="128"/>
      <c r="AB11" s="24"/>
      <c r="AC11" s="24"/>
    </row>
    <row r="12" ht="15.75" customHeight="1">
      <c r="A12" s="55" t="s">
        <v>82</v>
      </c>
      <c r="B12" s="123">
        <f>35994/425094*100</f>
        <v>8.467303702</v>
      </c>
      <c r="C12" s="123">
        <f>39250/442291*100</f>
        <v>8.87424795</v>
      </c>
      <c r="D12" s="123">
        <f>75244/867385*100</f>
        <v>8.674809917</v>
      </c>
      <c r="E12" s="123">
        <f>36845/426302*100</f>
        <v>8.642933883</v>
      </c>
      <c r="F12" s="123">
        <f>40450/443891*100</f>
        <v>9.112597462</v>
      </c>
      <c r="G12" s="123">
        <f>77295/870193*100</f>
        <v>8.88251227</v>
      </c>
      <c r="H12" s="123">
        <f>38490/426508*100</f>
        <v>9.024449717</v>
      </c>
      <c r="I12" s="123">
        <f>40982/443605*100</f>
        <v>9.238399026</v>
      </c>
      <c r="J12" s="123">
        <f>79472/870113*100</f>
        <v>9.133526335</v>
      </c>
      <c r="K12" s="123">
        <f>37582/426813*100</f>
        <v>8.805261321</v>
      </c>
      <c r="L12" s="123">
        <f>40698/443813*100</f>
        <v>9.170078389</v>
      </c>
      <c r="M12" s="123">
        <f>78270/870407*100</f>
        <v>8.99234496</v>
      </c>
      <c r="N12" s="123">
        <f>38009/428408*100</f>
        <v>8.872149913</v>
      </c>
      <c r="O12" s="123">
        <f>41898/445198*100</f>
        <v>9.411093491</v>
      </c>
      <c r="P12" s="123">
        <f>79907/873606*100</f>
        <v>9.146800732</v>
      </c>
      <c r="Q12" s="123">
        <f>38663/430246*100</f>
        <v>8.986254375</v>
      </c>
      <c r="R12" s="123">
        <f>42580/446546*100</f>
        <v>9.535411805</v>
      </c>
      <c r="S12" s="123">
        <f>81243/876792*100</f>
        <v>9.265937645</v>
      </c>
      <c r="T12" s="123">
        <f>39938/432290*100</f>
        <v>9.238705499</v>
      </c>
      <c r="U12" s="123">
        <f>43278/447462*100</f>
        <v>9.671882752</v>
      </c>
      <c r="V12" s="123">
        <f>83216/879752*100</f>
        <v>9.459029363</v>
      </c>
      <c r="W12" s="128"/>
      <c r="X12" s="128"/>
      <c r="Y12" s="128"/>
      <c r="Z12" s="128"/>
      <c r="AA12" s="128"/>
      <c r="AB12" s="24"/>
      <c r="AC12" s="24"/>
    </row>
    <row r="13" ht="15.75" customHeight="1">
      <c r="A13" s="55" t="s">
        <v>83</v>
      </c>
      <c r="B13" s="123">
        <f>30296/264859*100</f>
        <v>11.438539</v>
      </c>
      <c r="C13" s="123">
        <f>30986/276858*100</f>
        <v>11.19201901</v>
      </c>
      <c r="D13" s="123">
        <f>61282/541717*100</f>
        <v>11.3125488</v>
      </c>
      <c r="E13" s="123">
        <f>30616/264325*100</f>
        <v>11.58271068</v>
      </c>
      <c r="F13" s="123">
        <f>31491/276051*100</f>
        <v>11.40767467</v>
      </c>
      <c r="G13" s="123">
        <f>62107/540376*100</f>
        <v>11.49329356</v>
      </c>
      <c r="H13" s="123">
        <f>31116/262271*100</f>
        <v>11.86406427</v>
      </c>
      <c r="I13" s="123">
        <f>31809/273530*100</f>
        <v>11.62907177</v>
      </c>
      <c r="J13" s="123">
        <f>62925/535801*100</f>
        <v>11.74409902</v>
      </c>
      <c r="K13" s="123">
        <f>31136/262099*100</f>
        <v>11.87948065</v>
      </c>
      <c r="L13" s="123">
        <f>31392/272407*100</f>
        <v>11.52393294</v>
      </c>
      <c r="M13" s="123">
        <f>62528/534506*100</f>
        <v>11.69827841</v>
      </c>
      <c r="N13" s="123">
        <f>31541/263200*100</f>
        <v>11.98366261</v>
      </c>
      <c r="O13" s="123">
        <f>31954/273206*100</f>
        <v>11.6959364</v>
      </c>
      <c r="P13" s="123">
        <f>63495/536406*100</f>
        <v>11.83711592</v>
      </c>
      <c r="Q13" s="123">
        <f>32803/265015*100</f>
        <v>12.37778994</v>
      </c>
      <c r="R13" s="123">
        <f>32471/273617*100</f>
        <v>11.86731819</v>
      </c>
      <c r="S13" s="123">
        <f>65274/538632*100</f>
        <v>12.11847792</v>
      </c>
      <c r="T13" s="123">
        <f>35024/267413*100</f>
        <v>13.09734381</v>
      </c>
      <c r="U13" s="123">
        <f>33918/274669*100</f>
        <v>12.3486815</v>
      </c>
      <c r="V13" s="123">
        <f>68942/542082*100</f>
        <v>12.71800207</v>
      </c>
      <c r="W13" s="128"/>
      <c r="X13" s="128"/>
      <c r="Y13" s="128"/>
      <c r="Z13" s="128"/>
      <c r="AA13" s="128"/>
      <c r="AB13" s="24"/>
      <c r="AC13" s="24"/>
    </row>
    <row r="14" ht="15.75" customHeight="1">
      <c r="A14" s="55" t="s">
        <v>84</v>
      </c>
      <c r="B14" s="123">
        <f>4560/88718*100</f>
        <v>5.139881422</v>
      </c>
      <c r="C14" s="123">
        <f>5184/91962*100</f>
        <v>5.637110981</v>
      </c>
      <c r="D14" s="123">
        <f>9744/180680*100</f>
        <v>5.392959929</v>
      </c>
      <c r="E14" s="123">
        <f>4654/88684*100</f>
        <v>5.247846286</v>
      </c>
      <c r="F14" s="123">
        <f>5283/91741*100</f>
        <v>5.758603024</v>
      </c>
      <c r="G14" s="123">
        <f>9937/180425*100</f>
        <v>5.507551614</v>
      </c>
      <c r="H14" s="123">
        <f>4901/88017*100</f>
        <v>5.568242499</v>
      </c>
      <c r="I14" s="123">
        <f>5329/90781*100</f>
        <v>5.870171071</v>
      </c>
      <c r="J14" s="123">
        <f>10230/178798*100</f>
        <v>5.721540509</v>
      </c>
      <c r="K14" s="123">
        <f>4939/88067*100</f>
        <v>5.608230098</v>
      </c>
      <c r="L14" s="123">
        <f>5327/90717*100</f>
        <v>5.872107764</v>
      </c>
      <c r="M14" s="123">
        <f>10266/178784*100</f>
        <v>5.742124575</v>
      </c>
      <c r="N14" s="123">
        <f>5128/88128*100</f>
        <v>5.818809005</v>
      </c>
      <c r="O14" s="123">
        <f>5576/90667*100</f>
        <v>6.14997739</v>
      </c>
      <c r="P14" s="123">
        <f>10704/178795*100</f>
        <v>5.986744596</v>
      </c>
      <c r="Q14" s="123">
        <f>5355/88316*100</f>
        <v>6.063453961</v>
      </c>
      <c r="R14" s="123">
        <f>5688/90557*100</f>
        <v>6.281126804</v>
      </c>
      <c r="S14" s="123">
        <f>11043/178873*100</f>
        <v>6.173653933</v>
      </c>
      <c r="T14" s="123">
        <f>5660/88520*100</f>
        <v>6.394035246</v>
      </c>
      <c r="U14" s="123">
        <f>5775/90531*100</f>
        <v>6.379030387</v>
      </c>
      <c r="V14" s="123">
        <f>11435/179051*100</f>
        <v>6.386448554</v>
      </c>
      <c r="W14" s="128"/>
      <c r="X14" s="128"/>
      <c r="Y14" s="128"/>
      <c r="Z14" s="128"/>
      <c r="AA14" s="128"/>
      <c r="AB14" s="24"/>
      <c r="AC14" s="24"/>
    </row>
    <row r="15" ht="15.75" customHeight="1">
      <c r="A15" s="55" t="s">
        <v>85</v>
      </c>
      <c r="B15" s="123">
        <f>34090/431187*100</f>
        <v>7.906082512</v>
      </c>
      <c r="C15" s="123">
        <f>39709/453898*100</f>
        <v>8.74844128</v>
      </c>
      <c r="D15" s="123">
        <f>73799/885085*100</f>
        <v>8.338069225</v>
      </c>
      <c r="E15" s="123">
        <f>34165/430971*100</f>
        <v>7.927447554</v>
      </c>
      <c r="F15" s="123">
        <f>39994/453905*100</f>
        <v>8.811094833</v>
      </c>
      <c r="G15" s="123">
        <f>74159/884876*100</f>
        <v>8.380722271</v>
      </c>
      <c r="H15" s="123">
        <f>34491/428879*100</f>
        <v>8.042128432</v>
      </c>
      <c r="I15" s="123">
        <f>40106/451214*100</f>
        <v>8.88846534</v>
      </c>
      <c r="J15" s="123">
        <f>74507/880093*100</f>
        <v>8.465809863</v>
      </c>
      <c r="K15" s="123">
        <f>34327/427977*100</f>
        <v>8.020758125</v>
      </c>
      <c r="L15" s="123">
        <f>39737/449691*100</f>
        <v>8.836512183</v>
      </c>
      <c r="M15" s="123">
        <f>74054/877668*100</f>
        <v>8.437586878</v>
      </c>
      <c r="N15" s="123">
        <f>34489/428937*100</f>
        <v>8.040574723</v>
      </c>
      <c r="O15" s="123">
        <f>40546/450794*100</f>
        <v>8.994352187</v>
      </c>
      <c r="P15" s="123">
        <f>75035/879731*100</f>
        <v>8.529311801</v>
      </c>
      <c r="Q15" s="123">
        <f>35361/429762*100</f>
        <v>8.228042498</v>
      </c>
      <c r="R15" s="123">
        <f>40695/450495*100</f>
        <v>9.033396597</v>
      </c>
      <c r="S15" s="123">
        <f>76056/880257*100</f>
        <v>8.64020394</v>
      </c>
      <c r="T15" s="123">
        <f>37352/431265*100</f>
        <v>8.66103208</v>
      </c>
      <c r="U15" s="123">
        <f>41874/450642*100</f>
        <v>9.292076637</v>
      </c>
      <c r="V15" s="123">
        <f>79226/881907*100</f>
        <v>8.983486921</v>
      </c>
      <c r="W15" s="128"/>
      <c r="X15" s="128"/>
      <c r="Y15" s="128"/>
      <c r="Z15" s="128"/>
      <c r="AA15" s="128"/>
      <c r="AB15" s="24"/>
      <c r="AC15" s="24"/>
    </row>
    <row r="16" ht="15.75" customHeight="1">
      <c r="A16" s="125" t="s">
        <v>42</v>
      </c>
      <c r="B16" s="123">
        <v>8.29</v>
      </c>
      <c r="C16" s="123">
        <v>8.41</v>
      </c>
      <c r="D16" s="123">
        <v>8.35</v>
      </c>
      <c r="E16" s="123">
        <v>8.37</v>
      </c>
      <c r="F16" s="123">
        <v>8.53</v>
      </c>
      <c r="G16" s="123">
        <v>8.45</v>
      </c>
      <c r="H16" s="123">
        <v>8.75</v>
      </c>
      <c r="I16" s="123">
        <v>8.72</v>
      </c>
      <c r="J16" s="123">
        <v>8.73</v>
      </c>
      <c r="K16" s="123">
        <v>8.8</v>
      </c>
      <c r="L16" s="123">
        <v>8.81</v>
      </c>
      <c r="M16" s="123">
        <v>8.81</v>
      </c>
      <c r="N16" s="123">
        <v>8.6</v>
      </c>
      <c r="O16" s="123">
        <v>8.56</v>
      </c>
      <c r="P16" s="123">
        <v>8.58</v>
      </c>
      <c r="Q16" s="123">
        <v>9.11</v>
      </c>
      <c r="R16" s="123">
        <v>8.89282646</v>
      </c>
      <c r="S16" s="123">
        <v>8.99749209</v>
      </c>
      <c r="T16" s="123">
        <v>9.42</v>
      </c>
      <c r="U16" s="123">
        <v>8.99</v>
      </c>
      <c r="V16" s="123">
        <v>9.2</v>
      </c>
      <c r="W16" s="24"/>
      <c r="X16" s="24"/>
      <c r="Y16" s="24"/>
      <c r="Z16" s="24"/>
      <c r="AA16" s="24"/>
      <c r="AB16" s="24"/>
      <c r="AC16" s="24"/>
    </row>
    <row r="17" ht="15.75" customHeight="1">
      <c r="A17" s="125" t="s">
        <v>43</v>
      </c>
      <c r="B17" s="129">
        <f>552955/4902201*100</f>
        <v>11.27972925</v>
      </c>
      <c r="C17" s="130">
        <f>577632/5108632*100</f>
        <v>11.30698003</v>
      </c>
      <c r="D17" s="129">
        <f>1130587/10010833*100</f>
        <v>11.2936356</v>
      </c>
      <c r="E17" s="123">
        <f>561437/4992375*100</f>
        <v>11.24588998</v>
      </c>
      <c r="F17" s="123">
        <f>587628/5115227*100</f>
        <v>11.48781862</v>
      </c>
      <c r="G17" s="123">
        <f>1149065/10027602*100</f>
        <v>11.45902081</v>
      </c>
      <c r="H17" s="123">
        <f>561437/4895448*100</f>
        <v>11.46855201</v>
      </c>
      <c r="I17" s="123">
        <f>587628/5086108*100</f>
        <v>11.55358872</v>
      </c>
      <c r="J17" s="123">
        <f>1190889/9981554*100</f>
        <v>11.93089773</v>
      </c>
      <c r="K17" s="123">
        <f>570234/4881528*100</f>
        <v>11.68146531</v>
      </c>
      <c r="L17" s="123">
        <f>585159/5061476*100</f>
        <v>11.56103477</v>
      </c>
      <c r="M17" s="123">
        <f>1155393/9943004*100</f>
        <v>11.62016027</v>
      </c>
      <c r="N17" s="123">
        <f>578536/4900520*100</f>
        <v>11.8056043</v>
      </c>
      <c r="O17" s="123">
        <f>597633/5075989*100</f>
        <v>11.77372528</v>
      </c>
      <c r="P17" s="123">
        <f>1176169/9976509*100</f>
        <v>11.78938444</v>
      </c>
      <c r="Q17" s="123">
        <f>596661/4927003*100</f>
        <v>12.11001901</v>
      </c>
      <c r="R17" s="123">
        <f>606477/5085051*100</f>
        <v>11.92666504</v>
      </c>
      <c r="S17" s="123">
        <f>1203138/10012054*100</f>
        <v>12.01689483</v>
      </c>
      <c r="T17" s="123">
        <f>613961/4946391*100</f>
        <v>12.41230222</v>
      </c>
      <c r="U17" s="123">
        <f>616401/5089090*100</f>
        <v>12.11220474</v>
      </c>
      <c r="V17" s="123">
        <f>1230362/10035481*100</f>
        <v>12.26011987</v>
      </c>
      <c r="W17" s="24"/>
      <c r="X17" s="24"/>
      <c r="Y17" s="24"/>
      <c r="Z17" s="24"/>
      <c r="AA17" s="24"/>
      <c r="AB17" s="24"/>
      <c r="AC17" s="24"/>
    </row>
    <row r="18" ht="15.75" customHeight="1">
      <c r="A18" s="24" t="s">
        <v>45</v>
      </c>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row>
    <row r="19" ht="15.75" customHeight="1">
      <c r="A19" s="24" t="s">
        <v>95</v>
      </c>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row>
    <row r="20" ht="15.75" customHeight="1">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row>
    <row r="21" ht="15.75" customHeight="1">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row>
    <row r="22" ht="15.75" customHeight="1">
      <c r="A22" s="24"/>
      <c r="B22" s="24"/>
      <c r="C22" s="24"/>
      <c r="D22" s="24"/>
      <c r="E22" s="24"/>
      <c r="F22" s="24"/>
      <c r="G22" s="24"/>
      <c r="H22" s="24"/>
      <c r="I22" s="24"/>
      <c r="J22" s="24"/>
      <c r="K22" s="24"/>
      <c r="L22" s="24"/>
      <c r="M22" s="24"/>
      <c r="N22" s="24"/>
      <c r="O22" s="24"/>
      <c r="P22" s="24"/>
      <c r="Q22" s="24"/>
      <c r="R22" s="24"/>
      <c r="S22" s="24"/>
      <c r="T22" s="24"/>
      <c r="U22" s="24"/>
      <c r="W22" s="24"/>
      <c r="X22" s="24"/>
      <c r="Y22" s="24"/>
      <c r="Z22" s="24"/>
      <c r="AA22" s="24"/>
      <c r="AB22" s="24"/>
      <c r="AC22" s="24"/>
    </row>
    <row r="23" ht="15.75" customHeight="1">
      <c r="A23" s="24"/>
      <c r="B23" s="24"/>
      <c r="C23" s="24"/>
      <c r="D23" s="131"/>
      <c r="E23" s="131"/>
      <c r="F23" s="131"/>
      <c r="G23" s="131"/>
      <c r="H23" s="131"/>
      <c r="I23" s="131"/>
      <c r="J23" s="131"/>
      <c r="K23" s="131"/>
      <c r="L23" s="131"/>
      <c r="M23" s="132"/>
      <c r="N23" s="100"/>
      <c r="O23" s="100"/>
      <c r="P23" s="24"/>
      <c r="Q23" s="24"/>
      <c r="R23" s="24"/>
      <c r="S23" s="24"/>
      <c r="T23" s="24"/>
      <c r="U23" s="133"/>
      <c r="V23" s="133"/>
      <c r="W23" s="133"/>
      <c r="X23" s="134"/>
      <c r="Y23" s="24"/>
      <c r="Z23" s="24"/>
      <c r="AA23" s="24"/>
      <c r="AB23" s="24"/>
      <c r="AC23" s="24"/>
    </row>
    <row r="24" ht="15.75" customHeight="1">
      <c r="A24" s="24"/>
      <c r="B24" s="24"/>
      <c r="D24" s="131"/>
      <c r="E24" s="131"/>
      <c r="F24" s="131"/>
      <c r="G24" s="131"/>
      <c r="H24" s="131"/>
      <c r="I24" s="131"/>
      <c r="J24" s="131"/>
      <c r="K24" s="131"/>
      <c r="L24" s="131"/>
      <c r="M24" s="132"/>
      <c r="N24" s="131"/>
      <c r="O24" s="131"/>
      <c r="P24" s="131"/>
      <c r="Q24" s="135"/>
      <c r="R24" s="131"/>
      <c r="S24" s="131"/>
      <c r="T24" s="131"/>
      <c r="U24" s="131"/>
      <c r="V24" s="131"/>
      <c r="W24" s="131"/>
      <c r="X24" s="131"/>
      <c r="Y24" s="131"/>
      <c r="Z24" s="136"/>
      <c r="AA24" s="24"/>
      <c r="AB24" s="24"/>
      <c r="AC24" s="24"/>
    </row>
    <row r="25" ht="15.75" customHeight="1">
      <c r="A25" s="24"/>
      <c r="B25" s="24"/>
      <c r="D25" s="131"/>
      <c r="E25" s="131"/>
      <c r="F25" s="131"/>
      <c r="G25" s="131"/>
      <c r="H25" s="131"/>
      <c r="I25" s="131"/>
      <c r="J25" s="131"/>
      <c r="K25" s="131"/>
      <c r="L25" s="131"/>
      <c r="M25" s="132"/>
      <c r="N25" s="131"/>
      <c r="O25" s="131"/>
      <c r="P25" s="131"/>
      <c r="Q25" s="131"/>
      <c r="R25" s="131"/>
      <c r="S25" s="131"/>
      <c r="T25" s="131"/>
      <c r="U25" s="131"/>
      <c r="V25" s="131"/>
      <c r="W25" s="131"/>
      <c r="X25" s="131"/>
      <c r="Y25" s="131"/>
      <c r="Z25" s="136"/>
      <c r="AA25" s="24"/>
      <c r="AB25" s="24"/>
      <c r="AC25" s="24"/>
    </row>
    <row r="26" ht="15.75" customHeight="1">
      <c r="A26" s="24"/>
      <c r="B26" s="24"/>
      <c r="D26" s="131"/>
      <c r="E26" s="131"/>
      <c r="F26" s="131"/>
      <c r="G26" s="131"/>
      <c r="H26" s="131"/>
      <c r="I26" s="131"/>
      <c r="J26" s="131"/>
      <c r="K26" s="131"/>
      <c r="L26" s="131"/>
      <c r="M26" s="132"/>
      <c r="N26" s="131"/>
      <c r="O26" s="131"/>
      <c r="P26" s="131"/>
      <c r="Q26" s="131"/>
      <c r="R26" s="131"/>
      <c r="S26" s="131"/>
      <c r="T26" s="131"/>
      <c r="U26" s="131"/>
      <c r="V26" s="131"/>
      <c r="W26" s="131"/>
      <c r="X26" s="131"/>
      <c r="Y26" s="131"/>
      <c r="Z26" s="136"/>
      <c r="AA26" s="137"/>
      <c r="AB26" s="136"/>
      <c r="AC26" s="24"/>
    </row>
    <row r="27" ht="15.75" customHeight="1">
      <c r="A27" s="24"/>
      <c r="B27" s="24"/>
      <c r="C27" s="24"/>
      <c r="D27" s="131"/>
      <c r="E27" s="131"/>
      <c r="F27" s="131"/>
      <c r="G27" s="131"/>
      <c r="H27" s="131"/>
      <c r="I27" s="131"/>
      <c r="J27" s="131"/>
      <c r="K27" s="131"/>
      <c r="L27" s="131"/>
      <c r="M27" s="132"/>
      <c r="N27" s="131"/>
      <c r="O27" s="131"/>
      <c r="P27" s="131"/>
      <c r="Q27" s="131"/>
      <c r="R27" s="131"/>
      <c r="S27" s="131"/>
      <c r="T27" s="131"/>
      <c r="U27" s="131"/>
      <c r="V27" s="131"/>
      <c r="W27" s="131"/>
      <c r="X27" s="131"/>
      <c r="Y27" s="131"/>
      <c r="Z27" s="136"/>
      <c r="AA27" s="137"/>
      <c r="AB27" s="136"/>
      <c r="AC27" s="24"/>
    </row>
    <row r="28" ht="15.75" customHeight="1">
      <c r="A28" s="24"/>
      <c r="B28" s="24"/>
      <c r="D28" s="131"/>
      <c r="E28" s="131"/>
      <c r="F28" s="131"/>
      <c r="G28" s="131"/>
      <c r="H28" s="131"/>
      <c r="I28" s="131"/>
      <c r="J28" s="131"/>
      <c r="K28" s="131"/>
      <c r="L28" s="131"/>
      <c r="M28" s="132"/>
      <c r="N28" s="131"/>
      <c r="O28" s="131"/>
      <c r="P28" s="131"/>
      <c r="Q28" s="131"/>
      <c r="R28" s="131"/>
      <c r="S28" s="131"/>
      <c r="T28" s="131"/>
      <c r="U28" s="131"/>
      <c r="V28" s="131"/>
      <c r="W28" s="131"/>
      <c r="X28" s="131"/>
      <c r="Y28" s="131"/>
      <c r="Z28" s="136"/>
      <c r="AA28" s="137"/>
      <c r="AB28" s="136"/>
      <c r="AC28" s="24"/>
    </row>
    <row r="29" ht="15.75" customHeight="1">
      <c r="A29" s="24"/>
      <c r="B29" s="24"/>
      <c r="D29" s="131"/>
      <c r="E29" s="131"/>
      <c r="F29" s="131"/>
      <c r="G29" s="131"/>
      <c r="H29" s="131"/>
      <c r="I29" s="131"/>
      <c r="J29" s="131"/>
      <c r="K29" s="131"/>
      <c r="L29" s="131"/>
      <c r="M29" s="132"/>
      <c r="N29" s="131"/>
      <c r="O29" s="131"/>
      <c r="P29" s="131"/>
      <c r="Q29" s="131"/>
      <c r="R29" s="131"/>
      <c r="S29" s="131"/>
      <c r="T29" s="131"/>
      <c r="U29" s="131"/>
      <c r="V29" s="131"/>
      <c r="W29" s="131"/>
      <c r="X29" s="131"/>
      <c r="Y29" s="131"/>
      <c r="Z29" s="136"/>
      <c r="AA29" s="137"/>
      <c r="AB29" s="136"/>
      <c r="AC29" s="24"/>
    </row>
    <row r="30" ht="15.75" customHeight="1">
      <c r="A30" s="24"/>
      <c r="B30" s="24"/>
      <c r="D30" s="131"/>
      <c r="E30" s="131"/>
      <c r="F30" s="131"/>
      <c r="G30" s="131"/>
      <c r="H30" s="131"/>
      <c r="I30" s="131"/>
      <c r="J30" s="131"/>
      <c r="K30" s="131"/>
      <c r="L30" s="131"/>
      <c r="M30" s="132"/>
      <c r="N30" s="131"/>
      <c r="O30" s="131"/>
      <c r="P30" s="131"/>
      <c r="Q30" s="131"/>
      <c r="R30" s="131"/>
      <c r="S30" s="131"/>
      <c r="T30" s="131"/>
      <c r="U30" s="131"/>
      <c r="V30" s="131"/>
      <c r="W30" s="131"/>
      <c r="X30" s="131"/>
      <c r="Y30" s="131"/>
      <c r="Z30" s="136"/>
      <c r="AA30" s="137"/>
      <c r="AB30" s="136"/>
      <c r="AC30" s="24"/>
    </row>
    <row r="31" ht="15.75" customHeight="1">
      <c r="A31" s="24"/>
      <c r="B31" s="24"/>
      <c r="C31" s="24"/>
      <c r="D31" s="131"/>
      <c r="E31" s="131"/>
      <c r="F31" s="131"/>
      <c r="G31" s="131"/>
      <c r="H31" s="131"/>
      <c r="I31" s="131"/>
      <c r="J31" s="131"/>
      <c r="K31" s="131"/>
      <c r="L31" s="131"/>
      <c r="M31" s="132"/>
      <c r="N31" s="131"/>
      <c r="O31" s="131"/>
      <c r="P31" s="131"/>
      <c r="Q31" s="131"/>
      <c r="R31" s="131"/>
      <c r="S31" s="131"/>
      <c r="T31" s="131"/>
      <c r="U31" s="131"/>
      <c r="V31" s="131"/>
      <c r="W31" s="131"/>
      <c r="X31" s="131"/>
      <c r="Y31" s="131"/>
      <c r="Z31" s="136"/>
      <c r="AA31" s="137"/>
      <c r="AB31" s="136"/>
      <c r="AC31" s="24"/>
    </row>
    <row r="32" ht="15.75" customHeight="1">
      <c r="A32" s="24"/>
      <c r="B32" s="24"/>
      <c r="C32" s="24"/>
      <c r="D32" s="131"/>
      <c r="E32" s="131"/>
      <c r="F32" s="131"/>
      <c r="G32" s="131"/>
      <c r="H32" s="131"/>
      <c r="I32" s="131"/>
      <c r="J32" s="131"/>
      <c r="K32" s="131"/>
      <c r="L32" s="131"/>
      <c r="M32" s="132"/>
      <c r="N32" s="131"/>
      <c r="O32" s="131"/>
      <c r="P32" s="131"/>
      <c r="Q32" s="131"/>
      <c r="R32" s="131"/>
      <c r="S32" s="131"/>
      <c r="T32" s="131"/>
      <c r="U32" s="131"/>
      <c r="V32" s="131"/>
      <c r="W32" s="131"/>
      <c r="X32" s="131"/>
      <c r="Y32" s="131"/>
      <c r="Z32" s="136"/>
      <c r="AA32" s="137"/>
      <c r="AB32" s="136"/>
      <c r="AC32" s="24"/>
    </row>
    <row r="33" ht="15.75" customHeight="1">
      <c r="A33" s="24"/>
      <c r="B33" s="24"/>
      <c r="C33" s="24"/>
      <c r="D33" s="131"/>
      <c r="E33" s="131"/>
      <c r="F33" s="131"/>
      <c r="G33" s="131"/>
      <c r="H33" s="131"/>
      <c r="I33" s="131"/>
      <c r="J33" s="131"/>
      <c r="K33" s="131"/>
      <c r="L33" s="131"/>
      <c r="M33" s="132"/>
      <c r="N33" s="131"/>
      <c r="O33" s="131"/>
      <c r="P33" s="131"/>
      <c r="Q33" s="131"/>
      <c r="R33" s="131"/>
      <c r="S33" s="131"/>
      <c r="T33" s="131"/>
      <c r="U33" s="131"/>
      <c r="V33" s="131"/>
      <c r="W33" s="131"/>
      <c r="X33" s="131"/>
      <c r="Y33" s="131"/>
      <c r="Z33" s="136"/>
      <c r="AA33" s="137"/>
      <c r="AB33" s="136"/>
      <c r="AC33" s="24"/>
    </row>
    <row r="34" ht="15.75" customHeight="1">
      <c r="A34" s="24"/>
      <c r="B34" s="24"/>
      <c r="C34" s="24"/>
      <c r="D34" s="131"/>
      <c r="E34" s="131"/>
      <c r="F34" s="131"/>
      <c r="G34" s="131"/>
      <c r="H34" s="100"/>
      <c r="I34" s="131"/>
      <c r="J34" s="131"/>
      <c r="K34" s="131"/>
      <c r="L34" s="131"/>
      <c r="M34" s="132"/>
      <c r="N34" s="131"/>
      <c r="O34" s="131"/>
      <c r="P34" s="131"/>
      <c r="Q34" s="131"/>
      <c r="R34" s="131"/>
      <c r="S34" s="131"/>
      <c r="T34" s="131"/>
      <c r="U34" s="131"/>
      <c r="V34" s="131"/>
      <c r="W34" s="131"/>
      <c r="X34" s="131"/>
      <c r="Y34" s="131"/>
      <c r="Z34" s="136"/>
      <c r="AA34" s="137"/>
      <c r="AB34" s="136"/>
      <c r="AC34" s="24"/>
    </row>
    <row r="35" ht="15.75" customHeight="1">
      <c r="A35" s="24"/>
      <c r="B35" s="24"/>
      <c r="D35" s="24"/>
      <c r="E35" s="24"/>
      <c r="F35" s="24"/>
      <c r="G35" s="24"/>
      <c r="H35" s="24"/>
      <c r="I35" s="138"/>
      <c r="J35" s="24"/>
      <c r="K35" s="24"/>
      <c r="L35" s="131"/>
      <c r="M35" s="131"/>
      <c r="N35" s="131"/>
      <c r="O35" s="131"/>
      <c r="P35" s="100"/>
      <c r="Q35" s="131"/>
      <c r="R35" s="131"/>
      <c r="S35" s="131"/>
      <c r="T35" s="131"/>
      <c r="U35" s="139"/>
      <c r="V35" s="131"/>
      <c r="W35" s="131"/>
      <c r="X35" s="131"/>
      <c r="Y35" s="131"/>
      <c r="Z35" s="136"/>
      <c r="AA35" s="137"/>
      <c r="AB35" s="136"/>
      <c r="AC35" s="24"/>
    </row>
    <row r="36" ht="15.75" customHeight="1">
      <c r="A36" s="24"/>
      <c r="B36" s="24"/>
      <c r="D36" s="24"/>
      <c r="E36" s="24"/>
      <c r="F36" s="24"/>
      <c r="G36" s="24"/>
      <c r="H36" s="24"/>
      <c r="I36" s="24"/>
      <c r="J36" s="24"/>
      <c r="K36" s="24"/>
      <c r="L36" s="24"/>
      <c r="M36" s="24"/>
      <c r="N36" s="24"/>
      <c r="O36" s="24"/>
      <c r="P36" s="24"/>
      <c r="Q36" s="24"/>
      <c r="R36" s="24"/>
      <c r="S36" s="135"/>
      <c r="T36" s="137"/>
      <c r="U36" s="137"/>
      <c r="V36" s="138"/>
      <c r="W36" s="135"/>
      <c r="X36" s="135"/>
      <c r="Y36" s="137"/>
      <c r="Z36" s="137"/>
      <c r="AA36" s="137"/>
      <c r="AB36" s="136"/>
      <c r="AC36" s="24"/>
    </row>
    <row r="37" ht="15.75" customHeight="1">
      <c r="A37" s="24"/>
      <c r="B37" s="24"/>
      <c r="D37" s="24"/>
      <c r="E37" s="24"/>
      <c r="F37" s="24"/>
      <c r="G37" s="24"/>
      <c r="H37" s="24"/>
      <c r="I37" s="24"/>
      <c r="J37" s="24"/>
      <c r="K37" s="24"/>
      <c r="L37" s="24"/>
      <c r="M37" s="24"/>
      <c r="N37" s="24"/>
      <c r="O37" s="24"/>
      <c r="P37" s="24"/>
      <c r="Q37" s="24"/>
      <c r="R37" s="24"/>
      <c r="S37" s="135"/>
      <c r="T37" s="137"/>
      <c r="U37" s="137"/>
      <c r="V37" s="137"/>
      <c r="W37" s="24"/>
      <c r="X37" s="135"/>
      <c r="Y37" s="137"/>
      <c r="Z37" s="137"/>
      <c r="AA37" s="137"/>
      <c r="AB37" s="24"/>
      <c r="AC37" s="24"/>
    </row>
    <row r="38"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ht="15.75" customHeight="1">
      <c r="A39" s="24"/>
      <c r="B39" s="24"/>
      <c r="D39" s="24"/>
      <c r="E39" s="74"/>
      <c r="F39" s="74"/>
      <c r="G39" s="105"/>
      <c r="H39" s="95"/>
      <c r="I39" s="74"/>
      <c r="J39" s="140"/>
      <c r="K39" s="105"/>
      <c r="L39" s="95"/>
      <c r="N39" s="24"/>
      <c r="O39" s="24"/>
      <c r="P39" s="24"/>
      <c r="Q39" s="24"/>
      <c r="R39" s="24"/>
      <c r="S39" s="24"/>
      <c r="T39" s="24"/>
      <c r="U39" s="24"/>
      <c r="V39" s="24"/>
      <c r="W39" s="24"/>
      <c r="X39" s="24"/>
      <c r="Y39" s="24"/>
      <c r="Z39" s="24"/>
      <c r="AA39" s="24"/>
      <c r="AB39" s="24"/>
      <c r="AC39" s="24"/>
    </row>
    <row r="40" ht="15.75" customHeight="1">
      <c r="A40" s="24"/>
      <c r="B40" s="24"/>
      <c r="D40" s="24"/>
      <c r="E40" s="74"/>
      <c r="F40" s="74"/>
      <c r="G40" s="74"/>
      <c r="H40" s="95"/>
      <c r="I40" s="74"/>
      <c r="J40" s="140"/>
      <c r="K40" s="74"/>
      <c r="L40" s="95"/>
      <c r="N40" s="24"/>
      <c r="O40" s="24"/>
      <c r="P40" s="24"/>
      <c r="Q40" s="24"/>
      <c r="R40" s="24"/>
      <c r="S40" s="24"/>
      <c r="T40" s="24"/>
      <c r="U40" s="24"/>
      <c r="V40" s="24"/>
      <c r="W40" s="24"/>
      <c r="X40" s="24"/>
      <c r="Y40" s="24"/>
      <c r="Z40" s="24"/>
      <c r="AA40" s="24"/>
      <c r="AB40" s="24"/>
      <c r="AC40" s="24"/>
    </row>
    <row r="41" ht="15.75" customHeight="1">
      <c r="A41" s="24"/>
      <c r="B41" s="24"/>
      <c r="D41" s="24"/>
      <c r="E41" s="74"/>
      <c r="F41" s="74"/>
      <c r="G41" s="74"/>
      <c r="H41" s="95"/>
      <c r="I41" s="74"/>
      <c r="J41" s="140"/>
      <c r="K41" s="74"/>
      <c r="L41" s="95"/>
      <c r="N41" s="24"/>
      <c r="O41" s="24"/>
      <c r="P41" s="24"/>
      <c r="Q41" s="24"/>
      <c r="R41" s="24"/>
      <c r="S41" s="24"/>
      <c r="T41" s="24"/>
      <c r="U41" s="24"/>
      <c r="V41" s="24"/>
      <c r="W41" s="24"/>
      <c r="X41" s="24"/>
      <c r="Y41" s="24"/>
      <c r="Z41" s="24"/>
      <c r="AA41" s="24"/>
      <c r="AB41" s="24"/>
      <c r="AC41" s="24"/>
    </row>
    <row r="42"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row>
    <row r="188"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row>
    <row r="18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row>
    <row r="190"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row>
    <row r="191"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row>
    <row r="192"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row>
    <row r="193"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row>
    <row r="194"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row>
    <row r="195"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row>
    <row r="196"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row>
    <row r="197"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row>
    <row r="198"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row>
    <row r="199"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row>
    <row r="200"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row>
    <row r="201"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row>
    <row r="202"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row>
    <row r="203"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row>
    <row r="204"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row>
    <row r="205"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row>
    <row r="206"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row>
    <row r="207"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row>
    <row r="208"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row>
    <row r="209"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row>
    <row r="210"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row>
    <row r="211"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row>
    <row r="212"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row>
    <row r="213"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row>
    <row r="214"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row>
    <row r="215"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row>
    <row r="216"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row>
    <row r="217"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row>
    <row r="218"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row>
    <row r="219"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row>
    <row r="220"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row>
    <row r="221"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row>
    <row r="222"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row>
    <row r="223"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row>
    <row r="224"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row>
    <row r="225"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row>
    <row r="226"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row>
    <row r="227"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row>
    <row r="228"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row>
    <row r="229"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row>
    <row r="230"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row>
    <row r="231"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row>
    <row r="232"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row>
    <row r="233"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row>
    <row r="234"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row>
    <row r="235"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row>
    <row r="236"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row>
    <row r="237"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row>
    <row r="238"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row>
    <row r="239"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row>
    <row r="240"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row>
    <row r="241"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row>
    <row r="242"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row>
    <row r="243"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row>
    <row r="244"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row>
    <row r="245"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row>
    <row r="246"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row>
    <row r="247"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row>
    <row r="248"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row>
    <row r="249"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row>
    <row r="250"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row>
    <row r="251"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row>
    <row r="252"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row>
    <row r="253"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row>
    <row r="254"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row>
    <row r="255"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row>
    <row r="256"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row>
    <row r="257"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row>
    <row r="258"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row>
    <row r="259"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row>
    <row r="260"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row>
    <row r="261"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row>
    <row r="262"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row>
    <row r="263"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row>
    <row r="264"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row>
    <row r="265"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row>
    <row r="266"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row>
    <row r="267"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row>
    <row r="268"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row>
    <row r="269"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row>
    <row r="270"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row>
    <row r="271"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row>
    <row r="272"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row>
    <row r="273"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row>
    <row r="274"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row>
    <row r="275"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row>
    <row r="276"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row>
    <row r="277"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row>
    <row r="278"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row>
    <row r="279"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row>
    <row r="280"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row>
    <row r="281"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row>
    <row r="282"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row>
    <row r="283"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row>
    <row r="284"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row>
    <row r="285"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row>
    <row r="286"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row>
    <row r="287"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row>
    <row r="288"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row>
    <row r="289"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row>
    <row r="290"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row>
    <row r="291"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row>
    <row r="292"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row>
    <row r="293"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row>
    <row r="294"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row>
    <row r="295"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row>
    <row r="296"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row>
    <row r="297"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row>
    <row r="298"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row>
    <row r="299"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row>
    <row r="300"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row>
    <row r="301"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row>
    <row r="302"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row>
    <row r="303"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row>
    <row r="304"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row>
    <row r="305"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row>
    <row r="306"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row>
    <row r="307"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row>
    <row r="308"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row>
    <row r="309"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row>
    <row r="310"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row>
    <row r="311"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row>
    <row r="312"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row>
    <row r="313"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row>
    <row r="314"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row>
    <row r="315"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row>
    <row r="316"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row>
    <row r="317"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row>
    <row r="318"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row>
    <row r="319"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row>
    <row r="320"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row>
    <row r="321"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row>
    <row r="322"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row>
    <row r="323"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row>
    <row r="324"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row>
    <row r="325"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row>
    <row r="326"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row>
    <row r="327"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row>
    <row r="328"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row>
    <row r="329"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row>
    <row r="330"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row>
    <row r="331"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row>
    <row r="332"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row>
    <row r="333"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row>
    <row r="334"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row>
    <row r="335"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row>
    <row r="336"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row>
    <row r="337"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row>
    <row r="338"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row>
    <row r="339"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row>
    <row r="340"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row>
    <row r="341"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row>
    <row r="342"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row>
    <row r="343"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row>
    <row r="344"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row>
    <row r="345"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row>
    <row r="346"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row>
    <row r="347"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row>
    <row r="348"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row>
    <row r="349"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row>
    <row r="350"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row>
    <row r="351"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row>
    <row r="352"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row>
    <row r="353"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row>
    <row r="354"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row>
    <row r="355"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row>
    <row r="356"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row>
    <row r="357"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row>
    <row r="358"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row>
    <row r="359"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row>
    <row r="360"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row>
    <row r="361"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row>
    <row r="362"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row>
    <row r="363"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row>
    <row r="364"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row>
    <row r="365"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row>
    <row r="366"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row>
    <row r="367"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row>
    <row r="368"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row>
    <row r="369"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row>
    <row r="370"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row>
    <row r="371"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row>
    <row r="372"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row>
    <row r="373"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row>
    <row r="374"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row>
    <row r="375"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row>
    <row r="376"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row>
    <row r="377"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row>
    <row r="378"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row>
    <row r="379"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row>
    <row r="380"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row>
    <row r="381"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row>
    <row r="382"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row>
    <row r="383"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row>
    <row r="384"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row>
    <row r="385"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row>
    <row r="386"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row>
    <row r="387"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row>
    <row r="388"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row>
    <row r="389"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row>
    <row r="390"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row>
    <row r="391"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row>
    <row r="392"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row>
    <row r="393"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row>
    <row r="394"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row>
    <row r="395"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row>
    <row r="396"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row>
    <row r="397"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row>
    <row r="398"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row>
    <row r="399"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row>
    <row r="400"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row>
    <row r="401"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row>
    <row r="402"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row>
    <row r="403"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row>
    <row r="404"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row>
    <row r="405"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row>
    <row r="406"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row>
    <row r="407"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row>
    <row r="408"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row>
    <row r="409"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row>
    <row r="410"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row>
    <row r="411"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row>
    <row r="412"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row>
    <row r="413"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row>
    <row r="414"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row>
    <row r="415"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row>
    <row r="416"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row>
    <row r="417"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row>
    <row r="418"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row>
    <row r="419"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row>
    <row r="420"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row>
    <row r="421"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row>
    <row r="422"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row>
    <row r="423"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row>
    <row r="424"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row>
    <row r="425"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row>
    <row r="426"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row>
    <row r="427"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row>
    <row r="428"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row>
    <row r="429"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row>
    <row r="430"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row>
    <row r="431"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row>
    <row r="432"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row>
    <row r="433"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row>
    <row r="434"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row>
    <row r="435"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row>
    <row r="436"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row>
    <row r="437"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row>
    <row r="438"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row>
    <row r="439"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row>
    <row r="440"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row>
    <row r="441"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row>
    <row r="442"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row>
    <row r="443"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row>
    <row r="444"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row>
    <row r="445"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row>
    <row r="446"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row>
    <row r="447"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row>
    <row r="448"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row>
    <row r="449"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row>
    <row r="450"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row>
    <row r="451"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row>
    <row r="452"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row>
    <row r="453"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row>
    <row r="454"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row>
    <row r="455"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row>
    <row r="456"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row>
    <row r="457"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row>
    <row r="458"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row>
    <row r="459"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row>
    <row r="460"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row>
    <row r="461"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row>
    <row r="462"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row>
    <row r="463"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row>
    <row r="464"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row>
    <row r="465"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row>
    <row r="466"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row>
    <row r="467"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row>
    <row r="468"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row>
    <row r="469"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row>
    <row r="470"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row>
    <row r="471"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row>
    <row r="472"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row>
    <row r="473"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row>
    <row r="474"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row>
    <row r="475"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row>
    <row r="476"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row>
    <row r="477"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row>
    <row r="478"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row>
    <row r="479"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row>
    <row r="480"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row>
    <row r="481"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row>
    <row r="482"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row>
    <row r="483"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row>
    <row r="484"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row>
    <row r="485"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row>
    <row r="486"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row>
    <row r="487"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row>
    <row r="488"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row>
    <row r="489"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row>
    <row r="490"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row>
    <row r="491"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row>
    <row r="492"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row>
    <row r="493"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row>
    <row r="494"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row>
    <row r="495"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row>
    <row r="496"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row>
    <row r="497"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row>
    <row r="498"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row>
    <row r="499"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row>
    <row r="500"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row>
    <row r="501"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row>
    <row r="502"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row>
    <row r="503"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row>
    <row r="504"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row>
    <row r="505"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row>
    <row r="506"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row>
    <row r="507"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row>
    <row r="508"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row>
    <row r="509"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row>
    <row r="510"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row>
    <row r="511"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row>
    <row r="512"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row>
    <row r="513"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row>
    <row r="514"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row>
    <row r="515"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row>
    <row r="516"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row>
    <row r="517"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row>
    <row r="518"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row>
    <row r="519"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row>
    <row r="520"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row>
    <row r="521"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row>
    <row r="522"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row>
    <row r="523"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row>
    <row r="524"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row>
    <row r="525"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row>
    <row r="526"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row>
    <row r="527"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row>
    <row r="528"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row>
    <row r="529"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row>
    <row r="530"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row>
    <row r="531"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row>
    <row r="532"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row>
    <row r="533"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row>
    <row r="534"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row>
    <row r="535"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row>
    <row r="536"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row>
    <row r="537"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row>
    <row r="538"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row>
    <row r="539"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row>
    <row r="540"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row>
    <row r="541"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row>
    <row r="542"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row>
    <row r="543"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row>
    <row r="544"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row>
    <row r="545"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row>
    <row r="546"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row>
    <row r="547"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row>
    <row r="548"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row>
    <row r="549"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row>
    <row r="550"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row>
    <row r="551"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row>
    <row r="552"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row>
    <row r="553"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row>
    <row r="554"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row>
    <row r="555"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row>
    <row r="556"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row>
    <row r="557"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row>
    <row r="558"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row>
    <row r="559"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row>
    <row r="560"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row>
    <row r="561"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row>
    <row r="562"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row>
    <row r="563"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row>
    <row r="564"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row>
    <row r="565"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row>
    <row r="566"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row>
    <row r="567"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row>
    <row r="568"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row>
    <row r="569"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row>
    <row r="570"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row>
    <row r="571"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row>
    <row r="572"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row>
    <row r="573"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row>
    <row r="574"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row>
    <row r="575"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row>
    <row r="576"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row>
    <row r="577"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row>
    <row r="578"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row>
    <row r="579"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row>
    <row r="580"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row>
    <row r="581"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row>
    <row r="582"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row>
    <row r="583"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row>
    <row r="584"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row>
    <row r="585"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row>
    <row r="586"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row>
    <row r="587"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row>
    <row r="588"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row>
    <row r="589"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row>
    <row r="590"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row>
    <row r="591"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row>
    <row r="592"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row>
    <row r="593"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row>
    <row r="594"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row>
    <row r="595"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row>
    <row r="596"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row>
    <row r="597"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row>
    <row r="598"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row>
    <row r="599"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row>
    <row r="600"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row>
    <row r="601"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row>
    <row r="602"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row>
    <row r="603"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row>
    <row r="604"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row>
    <row r="605"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row>
    <row r="606"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row>
    <row r="607"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row>
    <row r="608"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row>
    <row r="609"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row>
    <row r="610"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row>
    <row r="611"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row>
    <row r="612"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row>
    <row r="613"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row>
    <row r="614"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row>
    <row r="615"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row>
    <row r="616"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row>
    <row r="617"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row>
    <row r="618"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row>
    <row r="619"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row>
    <row r="620"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row>
    <row r="621"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row>
    <row r="622"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row>
    <row r="623"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row>
    <row r="624"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row>
    <row r="625"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row>
    <row r="626"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row>
    <row r="627"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row>
    <row r="628"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row>
    <row r="629"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row>
    <row r="630"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row>
    <row r="631"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row>
    <row r="632"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row>
    <row r="633"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row>
    <row r="634"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row>
    <row r="635"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row>
    <row r="636"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row>
    <row r="637"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row>
    <row r="638"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row>
    <row r="639"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row>
    <row r="640"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row>
    <row r="641"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row>
    <row r="642"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row>
    <row r="643"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row>
    <row r="644"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row>
    <row r="645"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row>
    <row r="646"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row>
    <row r="647"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row>
    <row r="648"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row>
    <row r="649"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row>
    <row r="650"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row>
    <row r="651"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row>
    <row r="652"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row>
    <row r="653"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row>
    <row r="654"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row>
    <row r="655"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row>
    <row r="656"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row>
    <row r="657"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row>
    <row r="658"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row>
    <row r="659"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row>
    <row r="660"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row>
    <row r="661"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row>
    <row r="662"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row>
    <row r="663"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row>
    <row r="664"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row>
    <row r="665"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row>
    <row r="666"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row>
    <row r="667"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row>
    <row r="668"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row>
    <row r="669"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row>
    <row r="670"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row>
    <row r="671"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row>
    <row r="672"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row>
    <row r="673"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row>
    <row r="674"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row>
    <row r="675"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row>
    <row r="676"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row>
    <row r="677"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row>
    <row r="678"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row>
    <row r="679"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row>
    <row r="680"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row>
    <row r="681"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row>
    <row r="682"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row>
    <row r="683"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row>
    <row r="684"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row>
    <row r="685"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row>
    <row r="686"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row>
    <row r="687"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row>
    <row r="688"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row>
    <row r="689"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row>
    <row r="690"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row>
    <row r="691"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row>
    <row r="692"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row>
    <row r="693"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row>
    <row r="694"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row>
    <row r="695"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row>
    <row r="696"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row>
    <row r="697"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row>
    <row r="698"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row>
    <row r="699"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row>
    <row r="700"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row>
    <row r="701"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row>
    <row r="702"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row>
    <row r="703"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row>
    <row r="704"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row>
    <row r="705"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row>
    <row r="706"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row>
    <row r="707"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row>
    <row r="708"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row>
    <row r="709"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row>
    <row r="710"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row>
    <row r="711"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row>
    <row r="712"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row>
    <row r="713"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row>
    <row r="714"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row>
    <row r="715"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row>
    <row r="716"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row>
    <row r="717"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row>
    <row r="718"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row>
    <row r="719"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row>
    <row r="720"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row>
    <row r="721"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row>
    <row r="722"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row>
    <row r="723"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row>
    <row r="724"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row>
    <row r="725"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row>
    <row r="726"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row>
    <row r="727"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row>
    <row r="728"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row>
    <row r="729"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row>
    <row r="730"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row>
    <row r="731"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row>
    <row r="732"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row>
    <row r="733"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row>
    <row r="734"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row>
    <row r="735"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row>
    <row r="736"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row>
    <row r="737"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row>
    <row r="738"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row>
    <row r="739"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row>
    <row r="740"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row>
    <row r="741"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row>
    <row r="742"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row>
    <row r="743"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row>
    <row r="744"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row>
    <row r="745"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row>
    <row r="746"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row>
    <row r="747"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row>
    <row r="748"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row>
    <row r="749"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row>
    <row r="750"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row>
    <row r="751"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row>
    <row r="752"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row>
    <row r="753"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row>
    <row r="754"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row>
    <row r="755"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row>
    <row r="756"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row>
    <row r="757"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row>
    <row r="758"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row>
    <row r="759"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row>
    <row r="760"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row>
    <row r="761"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row>
    <row r="762"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row>
    <row r="763"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row>
    <row r="764"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row>
    <row r="765"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row>
    <row r="766"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row>
    <row r="767"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row>
    <row r="768"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row>
    <row r="769"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row>
    <row r="770"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row>
    <row r="771"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row>
    <row r="772"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row>
    <row r="773"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row>
    <row r="774"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row>
    <row r="775"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row>
    <row r="776"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row>
    <row r="777"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row>
    <row r="778"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row>
    <row r="779"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row>
    <row r="780"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row>
    <row r="781"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row>
    <row r="782"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row>
    <row r="783"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row>
    <row r="784"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row>
    <row r="785"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row>
    <row r="786"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row>
    <row r="787"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row>
    <row r="788"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row>
    <row r="789"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row>
    <row r="790"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row>
    <row r="791"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row>
    <row r="792"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row>
    <row r="793"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row>
    <row r="794"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row>
    <row r="795"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row>
    <row r="796"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row>
    <row r="797"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row>
    <row r="798"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row>
    <row r="799"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row>
    <row r="800"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row>
    <row r="801"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row>
    <row r="802"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row>
    <row r="803"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row>
    <row r="804"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row>
    <row r="805"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row>
    <row r="806"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row>
    <row r="807"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row>
    <row r="808"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row>
    <row r="809"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row>
    <row r="810"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row>
    <row r="811"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row>
    <row r="812"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row>
    <row r="813"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row>
    <row r="814"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row>
    <row r="815"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row>
    <row r="816"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row>
    <row r="817"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row>
    <row r="818"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row>
    <row r="819"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row>
    <row r="820"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row>
    <row r="821"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row>
    <row r="822"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row>
    <row r="823"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row>
    <row r="824"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row>
    <row r="825"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row>
    <row r="826"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row>
    <row r="827"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row>
    <row r="828"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row>
    <row r="829"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row>
    <row r="830"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row>
    <row r="831"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row>
    <row r="832"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row>
    <row r="833"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row>
    <row r="834"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row>
    <row r="835"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row>
    <row r="836"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row>
    <row r="837"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row>
    <row r="838"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row>
    <row r="839"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row>
    <row r="840"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row>
    <row r="841"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row>
    <row r="842"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row>
    <row r="843"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row>
    <row r="844"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row>
    <row r="845"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row>
    <row r="846"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row>
    <row r="847"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row>
    <row r="848"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row>
    <row r="849"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row>
    <row r="850"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row>
    <row r="851"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row>
    <row r="852"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row>
    <row r="853"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row>
    <row r="854"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row>
    <row r="855"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row>
    <row r="856"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row>
    <row r="857"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row>
    <row r="858"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row>
    <row r="859"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row>
    <row r="860"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row>
    <row r="861"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row>
    <row r="862"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row>
    <row r="863"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row>
    <row r="864"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row>
    <row r="865"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row>
    <row r="866"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row>
    <row r="867"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row>
    <row r="868"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row>
    <row r="869"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row>
    <row r="870"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row>
    <row r="871"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row>
    <row r="872"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row>
    <row r="873"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row>
    <row r="874"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row>
    <row r="875"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row>
    <row r="876"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row>
    <row r="877"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row>
    <row r="878"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row>
    <row r="879"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row>
    <row r="880"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row>
    <row r="881"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row>
    <row r="882"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row>
    <row r="883"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row>
    <row r="884"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row>
    <row r="885"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row>
    <row r="886"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row>
    <row r="887"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row>
    <row r="888"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row>
    <row r="889"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row>
    <row r="890"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row>
    <row r="891"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row>
    <row r="892"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row>
    <row r="893"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row>
    <row r="894"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row>
    <row r="895"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row>
    <row r="896"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row>
    <row r="897"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row>
    <row r="898"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row>
    <row r="899"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row>
    <row r="900"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row>
    <row r="901"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row>
    <row r="902"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row>
    <row r="903"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row>
    <row r="904"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row>
    <row r="905"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row>
    <row r="906"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row>
    <row r="907"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row>
    <row r="908"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row>
    <row r="909"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row>
    <row r="910"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row>
    <row r="911"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row>
    <row r="912"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row>
    <row r="913"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row>
    <row r="914"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row>
    <row r="915"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row>
    <row r="916"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row>
    <row r="917"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row>
    <row r="918"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row>
    <row r="919"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row>
    <row r="920"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row>
    <row r="921"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row>
    <row r="922"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row>
    <row r="923"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row>
    <row r="924"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row>
    <row r="925"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row>
    <row r="926"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row>
    <row r="927"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row>
    <row r="928"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row>
    <row r="929"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row>
    <row r="930"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row>
    <row r="931"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row>
    <row r="932"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row>
    <row r="933"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row>
    <row r="934"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row>
    <row r="935"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row>
    <row r="936"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row>
    <row r="937"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row>
    <row r="938"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row>
    <row r="939"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row>
    <row r="940"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row>
    <row r="941"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row>
    <row r="942"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row>
    <row r="943"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row>
    <row r="944"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row>
    <row r="945"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row>
    <row r="946"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row>
    <row r="947"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row>
    <row r="948"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row>
    <row r="949"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row>
    <row r="950"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row>
    <row r="951"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row>
    <row r="952"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row>
    <row r="953"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row>
    <row r="954"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row>
    <row r="955"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row>
    <row r="956"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row>
    <row r="957"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row>
    <row r="958"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row>
    <row r="959"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row>
    <row r="960"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row>
    <row r="961"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row>
    <row r="962"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row>
    <row r="963"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row>
    <row r="964"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row>
    <row r="965"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row>
    <row r="966" ht="15.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row>
    <row r="967" ht="15.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row>
    <row r="968" ht="15.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row>
    <row r="969" ht="15.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row>
    <row r="970" ht="15.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row>
    <row r="971" ht="15.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row>
    <row r="972" ht="15.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row>
    <row r="973" ht="15.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row>
    <row r="974" ht="15.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row>
    <row r="975" ht="15.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row>
    <row r="976" ht="15.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row>
    <row r="977" ht="15.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row>
    <row r="978" ht="15.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row>
    <row r="979" ht="15.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row>
    <row r="980" ht="15.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row>
    <row r="981" ht="15.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row>
    <row r="982" ht="15.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row>
    <row r="983" ht="15.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row>
    <row r="984" ht="15.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row>
    <row r="985" ht="15.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row>
    <row r="986" ht="15.7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row>
    <row r="987" ht="15.75"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row>
    <row r="988" ht="15.75"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row>
    <row r="989" ht="15.75"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row>
    <row r="990" ht="15.75"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row>
    <row r="991" ht="15.75"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row>
    <row r="992" ht="15.75"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row>
    <row r="993" ht="15.75"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row>
    <row r="994" ht="15.75"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row>
    <row r="995" ht="15.75"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row>
    <row r="996" ht="15.75"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row>
    <row r="997" ht="15.75"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row>
    <row r="998" ht="15.75"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row>
    <row r="999" ht="15.75"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row>
    <row r="1000" ht="15.75"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row>
    <row r="1001" ht="15.75" customHeight="1">
      <c r="A1001" s="24"/>
      <c r="B1001" s="24"/>
      <c r="C1001" s="24"/>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row>
    <row r="1002" ht="15.75" customHeight="1">
      <c r="A1002" s="24"/>
      <c r="B1002" s="24"/>
      <c r="C1002" s="24"/>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row>
    <row r="1003" ht="15.75" customHeight="1">
      <c r="A1003" s="24"/>
      <c r="B1003" s="24"/>
      <c r="C1003" s="24"/>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row>
    <row r="1004" ht="15.75" customHeight="1">
      <c r="A1004" s="24"/>
      <c r="B1004" s="24"/>
      <c r="C1004" s="24"/>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row>
  </sheetData>
  <mergeCells count="7">
    <mergeCell ref="B2:D2"/>
    <mergeCell ref="E2:G2"/>
    <mergeCell ref="H2:J2"/>
    <mergeCell ref="K2:M2"/>
    <mergeCell ref="N2:P2"/>
    <mergeCell ref="Q2:S2"/>
    <mergeCell ref="T2:V2"/>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workbookViewId="0"/>
  </sheetViews>
  <sheetFormatPr customHeight="1" defaultColWidth="12.63" defaultRowHeight="15.0"/>
  <cols>
    <col customWidth="1" min="1" max="36" width="11.13"/>
  </cols>
  <sheetData>
    <row r="1" ht="15.75" customHeight="1">
      <c r="A1" s="141" t="s">
        <v>123</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24"/>
    </row>
    <row r="2" ht="15.75" customHeight="1">
      <c r="A2" s="49"/>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24"/>
    </row>
    <row r="3" ht="15.75" customHeight="1">
      <c r="A3" s="103"/>
      <c r="B3" s="103">
        <v>2005.0</v>
      </c>
      <c r="C3" s="103">
        <v>2006.0</v>
      </c>
      <c r="D3" s="103">
        <v>2007.0</v>
      </c>
      <c r="E3" s="103">
        <v>2008.0</v>
      </c>
      <c r="F3" s="103">
        <v>2009.0</v>
      </c>
      <c r="G3" s="103">
        <v>2010.0</v>
      </c>
      <c r="H3" s="103">
        <v>2011.0</v>
      </c>
      <c r="I3" s="103">
        <v>2012.0</v>
      </c>
      <c r="J3" s="103">
        <v>2013.0</v>
      </c>
      <c r="K3" s="103">
        <v>2014.0</v>
      </c>
      <c r="L3" s="103">
        <v>2015.0</v>
      </c>
      <c r="M3" s="103">
        <v>2016.0</v>
      </c>
      <c r="N3" s="103">
        <v>2017.0</v>
      </c>
      <c r="O3" s="103">
        <v>2018.0</v>
      </c>
      <c r="P3" s="103">
        <v>2019.0</v>
      </c>
      <c r="Q3" s="103">
        <v>2020.0</v>
      </c>
      <c r="R3" s="103">
        <v>2021.0</v>
      </c>
      <c r="S3" s="103">
        <v>2022.0</v>
      </c>
      <c r="T3" s="103">
        <v>2023.0</v>
      </c>
      <c r="U3" s="103">
        <v>2024.0</v>
      </c>
      <c r="V3" s="49"/>
      <c r="W3" s="49"/>
      <c r="X3" s="49"/>
      <c r="Y3" s="49"/>
      <c r="Z3" s="49"/>
      <c r="AA3" s="49"/>
      <c r="AB3" s="49"/>
      <c r="AC3" s="49"/>
      <c r="AD3" s="49"/>
      <c r="AE3" s="49"/>
      <c r="AF3" s="49"/>
      <c r="AG3" s="49"/>
      <c r="AH3" s="49"/>
      <c r="AI3" s="49"/>
      <c r="AJ3" s="24"/>
    </row>
    <row r="4" ht="15.75" customHeight="1">
      <c r="A4" s="103" t="s">
        <v>42</v>
      </c>
      <c r="B4" s="108">
        <v>9.8</v>
      </c>
      <c r="C4" s="108">
        <v>9.6</v>
      </c>
      <c r="D4" s="108">
        <v>9.7</v>
      </c>
      <c r="E4" s="108">
        <v>9.9</v>
      </c>
      <c r="F4" s="108">
        <v>9.9</v>
      </c>
      <c r="G4" s="108">
        <v>9.8</v>
      </c>
      <c r="H4" s="108">
        <v>9.9</v>
      </c>
      <c r="I4" s="108">
        <v>10.2</v>
      </c>
      <c r="J4" s="108">
        <v>10.0</v>
      </c>
      <c r="K4" s="108">
        <v>9.9</v>
      </c>
      <c r="L4" s="108">
        <v>10.8</v>
      </c>
      <c r="M4" s="108">
        <v>10.2</v>
      </c>
      <c r="N4" s="108">
        <v>10.8</v>
      </c>
      <c r="O4" s="108">
        <v>10.6</v>
      </c>
      <c r="P4" s="108">
        <v>10.6</v>
      </c>
      <c r="Q4" s="108">
        <v>12.5</v>
      </c>
      <c r="R4" s="108">
        <v>11.9</v>
      </c>
      <c r="S4" s="108">
        <v>12.1</v>
      </c>
      <c r="T4" s="108">
        <v>11.4</v>
      </c>
      <c r="U4" s="108">
        <v>11.0</v>
      </c>
      <c r="V4" s="49"/>
      <c r="W4" s="49"/>
      <c r="X4" s="49"/>
      <c r="Y4" s="49"/>
      <c r="Z4" s="49"/>
      <c r="AA4" s="49"/>
      <c r="AB4" s="49"/>
      <c r="AC4" s="49"/>
      <c r="AD4" s="49"/>
      <c r="AE4" s="49"/>
      <c r="AF4" s="49"/>
      <c r="AG4" s="49"/>
      <c r="AH4" s="49"/>
      <c r="AI4" s="49"/>
      <c r="AJ4" s="24"/>
    </row>
    <row r="5" ht="15.75" customHeight="1">
      <c r="A5" s="103" t="s">
        <v>43</v>
      </c>
      <c r="B5" s="108">
        <v>9.2</v>
      </c>
      <c r="C5" s="108">
        <v>9.0</v>
      </c>
      <c r="D5" s="108">
        <v>9.0</v>
      </c>
      <c r="E5" s="108">
        <v>9.4</v>
      </c>
      <c r="F5" s="108">
        <v>9.3</v>
      </c>
      <c r="G5" s="108">
        <v>9.3</v>
      </c>
      <c r="H5" s="108">
        <v>9.1</v>
      </c>
      <c r="I5" s="108">
        <v>9.5</v>
      </c>
      <c r="J5" s="108">
        <v>9.2</v>
      </c>
      <c r="K5" s="108">
        <v>9.1</v>
      </c>
      <c r="L5" s="108">
        <v>10.0</v>
      </c>
      <c r="M5" s="108">
        <v>9.5</v>
      </c>
      <c r="N5" s="108">
        <v>10.0</v>
      </c>
      <c r="O5" s="108">
        <v>10.0</v>
      </c>
      <c r="P5" s="108">
        <v>10.0</v>
      </c>
      <c r="Q5" s="108">
        <v>13.6</v>
      </c>
      <c r="R5" s="108">
        <v>10.8</v>
      </c>
      <c r="S5" s="108">
        <v>11.3</v>
      </c>
      <c r="T5" s="108">
        <v>10.4</v>
      </c>
      <c r="U5" s="108">
        <v>10.2</v>
      </c>
      <c r="V5" s="49"/>
      <c r="W5" s="49"/>
      <c r="X5" s="49"/>
      <c r="Y5" s="49"/>
      <c r="Z5" s="49"/>
      <c r="AA5" s="49"/>
      <c r="AB5" s="49"/>
      <c r="AC5" s="49"/>
      <c r="AD5" s="49"/>
      <c r="AE5" s="49"/>
      <c r="AF5" s="49"/>
      <c r="AG5" s="49"/>
      <c r="AH5" s="49"/>
      <c r="AI5" s="49"/>
      <c r="AJ5" s="24"/>
    </row>
    <row r="6" ht="15.75" customHeight="1">
      <c r="A6" s="103" t="s">
        <v>44</v>
      </c>
      <c r="B6" s="108">
        <v>8.2</v>
      </c>
      <c r="C6" s="108">
        <v>8.2</v>
      </c>
      <c r="D6" s="108">
        <v>8.3</v>
      </c>
      <c r="E6" s="108">
        <v>8.4</v>
      </c>
      <c r="F6" s="108">
        <v>8.7</v>
      </c>
      <c r="G6" s="108">
        <v>8.6</v>
      </c>
      <c r="H6" s="108">
        <v>8.5</v>
      </c>
      <c r="I6" s="108">
        <v>8.9</v>
      </c>
      <c r="J6" s="108">
        <v>8.6</v>
      </c>
      <c r="K6" s="108">
        <v>8.6</v>
      </c>
      <c r="L6" s="108">
        <v>9.3</v>
      </c>
      <c r="M6" s="108">
        <v>8.8</v>
      </c>
      <c r="N6" s="108">
        <v>9.4</v>
      </c>
      <c r="O6" s="108">
        <v>9.5</v>
      </c>
      <c r="P6" s="108">
        <v>9.5</v>
      </c>
      <c r="Q6" s="108">
        <v>13.1</v>
      </c>
      <c r="R6" s="108">
        <v>10.5</v>
      </c>
      <c r="S6" s="108">
        <v>10.3</v>
      </c>
      <c r="T6" s="108">
        <v>9.6</v>
      </c>
      <c r="U6" s="108">
        <v>9.5</v>
      </c>
      <c r="V6" s="49"/>
      <c r="W6" s="49"/>
      <c r="X6" s="49"/>
      <c r="Y6" s="49"/>
      <c r="Z6" s="49"/>
      <c r="AA6" s="49"/>
      <c r="AB6" s="49"/>
      <c r="AC6" s="49"/>
      <c r="AD6" s="49"/>
      <c r="AE6" s="49"/>
      <c r="AF6" s="49"/>
      <c r="AG6" s="49"/>
      <c r="AH6" s="49"/>
      <c r="AI6" s="49"/>
      <c r="AJ6" s="24"/>
    </row>
    <row r="7" ht="15.75" customHeight="1">
      <c r="A7" s="49" t="s">
        <v>45</v>
      </c>
      <c r="B7" s="49"/>
      <c r="C7" s="49"/>
      <c r="D7" s="49"/>
      <c r="E7" s="49"/>
      <c r="F7" s="49"/>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24"/>
    </row>
    <row r="8" ht="15.75" customHeight="1">
      <c r="A8" s="49" t="s">
        <v>124</v>
      </c>
      <c r="B8" s="49"/>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24"/>
    </row>
    <row r="9" ht="15.75" customHeight="1">
      <c r="A9" s="49"/>
      <c r="B9" s="49"/>
      <c r="C9" s="49"/>
      <c r="D9" s="49"/>
      <c r="E9" s="49"/>
      <c r="F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24"/>
    </row>
    <row r="10" ht="15.75" customHeight="1">
      <c r="A10" s="49"/>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24"/>
    </row>
    <row r="11" ht="15.75" customHeight="1">
      <c r="A11" s="49"/>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24"/>
    </row>
    <row r="12" ht="15.75" customHeight="1">
      <c r="A12" s="49"/>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24"/>
    </row>
    <row r="13" ht="15.75" customHeight="1">
      <c r="A13" s="49"/>
      <c r="B13" s="49"/>
      <c r="C13" s="49"/>
      <c r="D13" s="49"/>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24"/>
    </row>
    <row r="14" ht="15.75" customHeight="1">
      <c r="A14" s="49"/>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24"/>
    </row>
    <row r="15" ht="15.75" customHeight="1">
      <c r="A15" s="49"/>
      <c r="B15" s="49"/>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24"/>
    </row>
    <row r="16" ht="15.75" customHeight="1">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24"/>
    </row>
    <row r="17" ht="15.75" customHeight="1">
      <c r="A17" s="49"/>
      <c r="B17" s="49"/>
      <c r="C17" s="4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24"/>
    </row>
    <row r="18" ht="15.75" customHeight="1">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24"/>
    </row>
    <row r="19" ht="15.75" customHeight="1">
      <c r="A19" s="49"/>
      <c r="B19" s="49"/>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24"/>
    </row>
    <row r="20" ht="15.75" customHeight="1">
      <c r="A20" s="49"/>
      <c r="B20" s="49"/>
      <c r="C20" s="4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24"/>
    </row>
    <row r="21" ht="15.75" customHeight="1">
      <c r="A21" s="49"/>
      <c r="B21" s="49"/>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24"/>
    </row>
    <row r="22" ht="15.75" customHeight="1">
      <c r="A22" s="49"/>
      <c r="B22" s="49"/>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24"/>
    </row>
    <row r="23" ht="15.75" customHeight="1">
      <c r="A23" s="49"/>
      <c r="B23" s="49"/>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24"/>
    </row>
    <row r="24" ht="15.75" customHeight="1">
      <c r="A24" s="49"/>
      <c r="B24" s="49"/>
      <c r="C24" s="49"/>
      <c r="D24" s="49"/>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24"/>
    </row>
    <row r="25" ht="15.75" customHeight="1">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24"/>
    </row>
    <row r="26" ht="15.75" customHeight="1">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24"/>
    </row>
    <row r="27" ht="15.75" customHeight="1">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24"/>
    </row>
    <row r="28" ht="15.75" customHeight="1">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24"/>
    </row>
    <row r="29" ht="15.75" customHeight="1">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24"/>
    </row>
    <row r="30" ht="15.75" customHeight="1">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24"/>
    </row>
    <row r="31" ht="15.75" customHeight="1">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24"/>
    </row>
    <row r="32" ht="15.75" customHeight="1">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24"/>
    </row>
    <row r="33" ht="15.75" customHeight="1">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24"/>
    </row>
    <row r="34" ht="15.75" customHeight="1">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24"/>
    </row>
    <row r="35" ht="15.75" customHeight="1">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24"/>
    </row>
    <row r="36" ht="15.75" customHeight="1">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24"/>
    </row>
    <row r="37" ht="15.75" customHeight="1">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24"/>
    </row>
    <row r="38" ht="15.75" customHeight="1">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24"/>
    </row>
    <row r="39" ht="15.75" customHeight="1">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24"/>
    </row>
    <row r="40" ht="15.75" customHeight="1">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24"/>
    </row>
    <row r="41" ht="15.75" customHeight="1">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24"/>
    </row>
    <row r="42" ht="15.75" customHeight="1">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24"/>
    </row>
    <row r="43" ht="15.75" customHeight="1">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24"/>
    </row>
    <row r="44" ht="15.75" customHeight="1">
      <c r="A44" s="49"/>
      <c r="B44" s="49"/>
      <c r="C44" s="49"/>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24"/>
    </row>
    <row r="45" ht="15.75" customHeight="1">
      <c r="A45" s="49"/>
      <c r="B45" s="49"/>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24"/>
    </row>
    <row r="46" ht="15.75" customHeight="1">
      <c r="A46" s="49"/>
      <c r="B46" s="49"/>
      <c r="C46" s="49"/>
      <c r="D46" s="49"/>
      <c r="E46" s="49"/>
      <c r="F46" s="49"/>
      <c r="G46" s="49"/>
      <c r="H46" s="49"/>
      <c r="I46" s="49"/>
      <c r="J46" s="49"/>
      <c r="K46" s="49"/>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24"/>
    </row>
    <row r="47" ht="15.75" customHeight="1">
      <c r="A47" s="49"/>
      <c r="B47" s="49"/>
      <c r="C47" s="49"/>
      <c r="D47" s="49"/>
      <c r="E47" s="49"/>
      <c r="F47" s="49"/>
      <c r="G47" s="49"/>
      <c r="H47" s="49"/>
      <c r="I47" s="49"/>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24"/>
    </row>
    <row r="48" ht="15.75" customHeight="1">
      <c r="A48" s="49"/>
      <c r="B48" s="49"/>
      <c r="C48" s="49"/>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24"/>
    </row>
    <row r="49" ht="15.75" customHeight="1">
      <c r="A49" s="49"/>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24"/>
    </row>
    <row r="50" ht="15.75" customHeight="1">
      <c r="A50" s="49"/>
      <c r="B50" s="49"/>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24"/>
    </row>
    <row r="51" ht="15.75" customHeight="1">
      <c r="A51" s="49"/>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24"/>
    </row>
    <row r="52" ht="15.75" customHeight="1">
      <c r="A52" s="49"/>
      <c r="B52" s="49"/>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24"/>
    </row>
    <row r="53" ht="15.75" customHeight="1">
      <c r="A53" s="49"/>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24"/>
    </row>
    <row r="54" ht="15.75" customHeight="1">
      <c r="A54" s="49"/>
      <c r="B54" s="49"/>
      <c r="C54" s="49"/>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24"/>
    </row>
    <row r="55" ht="15.75" customHeight="1">
      <c r="A55" s="49"/>
      <c r="B55" s="49"/>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24"/>
    </row>
    <row r="56" ht="15.75" customHeight="1">
      <c r="A56" s="49"/>
      <c r="B56" s="49"/>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24"/>
    </row>
    <row r="57" ht="15.75" customHeight="1">
      <c r="A57" s="49"/>
      <c r="B57" s="49"/>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24"/>
    </row>
    <row r="58" ht="15.75" customHeight="1">
      <c r="A58" s="49"/>
      <c r="B58" s="49"/>
      <c r="C58" s="49"/>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24"/>
    </row>
    <row r="59" ht="15.75" customHeight="1">
      <c r="A59" s="49"/>
      <c r="B59" s="49"/>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24"/>
    </row>
    <row r="60" ht="15.75" customHeight="1">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24"/>
    </row>
    <row r="61" ht="15.75" customHeight="1">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24"/>
    </row>
    <row r="62" ht="15.75" customHeight="1">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24"/>
    </row>
    <row r="63" ht="15.75" customHeight="1">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24"/>
    </row>
    <row r="64" ht="15.75" customHeight="1">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24"/>
    </row>
    <row r="65" ht="15.75" customHeight="1">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24"/>
    </row>
    <row r="66" ht="15.75" customHeight="1">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24"/>
    </row>
    <row r="67" ht="15.75" customHeight="1">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24"/>
    </row>
    <row r="68" ht="15.75" customHeight="1">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24"/>
    </row>
    <row r="69" ht="15.75" customHeight="1">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24"/>
    </row>
    <row r="70" ht="15.75" customHeight="1">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24"/>
    </row>
    <row r="71" ht="15.75" customHeight="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24"/>
    </row>
    <row r="72" ht="15.75" customHeight="1">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24"/>
    </row>
    <row r="73" ht="15.75" customHeight="1">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24"/>
    </row>
    <row r="74" ht="15.75" customHeight="1">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24"/>
    </row>
    <row r="75" ht="15.75" customHeight="1">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24"/>
    </row>
    <row r="76" ht="15.75" customHeight="1">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24"/>
    </row>
    <row r="77" ht="15.75" customHeight="1">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24"/>
    </row>
    <row r="78" ht="15.75" customHeight="1">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24"/>
    </row>
    <row r="79" ht="15.75" customHeight="1">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24"/>
    </row>
    <row r="80" ht="15.75" customHeight="1">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24"/>
    </row>
    <row r="81" ht="15.75" customHeight="1">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24"/>
    </row>
    <row r="82" ht="15.75" customHeight="1">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24"/>
    </row>
    <row r="83" ht="15.75" customHeight="1">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24"/>
    </row>
    <row r="84" ht="15.75" customHeight="1">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24"/>
    </row>
    <row r="85" ht="15.75" customHeight="1">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24"/>
    </row>
    <row r="86" ht="15.75" customHeight="1">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24"/>
    </row>
    <row r="87" ht="15.75" customHeight="1">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24"/>
    </row>
    <row r="88" ht="15.75" customHeight="1">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24"/>
    </row>
    <row r="89" ht="15.75" customHeight="1">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24"/>
    </row>
    <row r="90" ht="15.75" customHeight="1">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24"/>
    </row>
    <row r="91" ht="15.75" customHeight="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24"/>
    </row>
    <row r="92" ht="15.75" customHeight="1">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24"/>
    </row>
    <row r="93" ht="15.75" customHeight="1">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24"/>
    </row>
    <row r="94" ht="15.75" customHeight="1">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24"/>
    </row>
    <row r="95" ht="15.75" customHeight="1">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24"/>
    </row>
    <row r="96" ht="15.75" customHeight="1">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24"/>
    </row>
    <row r="97" ht="15.75" customHeight="1">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24"/>
    </row>
    <row r="98" ht="15.75" customHeight="1">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24"/>
    </row>
    <row r="99" ht="15.75" customHeight="1">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24"/>
    </row>
    <row r="100" ht="15.75" customHeight="1">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24"/>
    </row>
    <row r="101" ht="15.75" customHeight="1">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24"/>
    </row>
    <row r="102" ht="15.75" customHeight="1">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24"/>
    </row>
    <row r="103" ht="15.75" customHeight="1">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24"/>
    </row>
    <row r="104" ht="15.75" customHeight="1">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24"/>
    </row>
    <row r="105" ht="15.75" customHeight="1">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24"/>
    </row>
    <row r="106" ht="15.75" customHeight="1">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24"/>
    </row>
    <row r="107" ht="15.75" customHeight="1">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24"/>
    </row>
    <row r="108" ht="15.75" customHeight="1">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24"/>
    </row>
    <row r="109" ht="15.7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24"/>
    </row>
    <row r="110" ht="15.75" customHeight="1">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24"/>
    </row>
    <row r="111" ht="15.75" customHeight="1">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24"/>
    </row>
    <row r="112" ht="15.75" customHeight="1">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24"/>
    </row>
    <row r="113" ht="15.75" customHeight="1">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24"/>
    </row>
    <row r="114" ht="15.75" customHeight="1">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24"/>
    </row>
    <row r="115" ht="15.75" customHeight="1">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24"/>
    </row>
    <row r="116" ht="15.75" customHeight="1">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24"/>
    </row>
    <row r="117" ht="15.75" customHeight="1">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24"/>
    </row>
    <row r="118" ht="15.75" customHeight="1">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24"/>
    </row>
    <row r="119" ht="15.75" customHeight="1">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24"/>
    </row>
    <row r="120" ht="15.75" customHeight="1">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24"/>
    </row>
    <row r="121" ht="15.75" customHeight="1">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24"/>
    </row>
    <row r="122" ht="15.75" customHeight="1">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24"/>
    </row>
    <row r="123" ht="15.75" customHeight="1">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c r="AE123" s="49"/>
      <c r="AF123" s="49"/>
      <c r="AG123" s="49"/>
      <c r="AH123" s="49"/>
      <c r="AI123" s="49"/>
      <c r="AJ123" s="24"/>
    </row>
    <row r="124" ht="15.75" customHeight="1">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24"/>
    </row>
    <row r="125" ht="15.75" customHeight="1">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c r="AA125" s="49"/>
      <c r="AB125" s="49"/>
      <c r="AC125" s="49"/>
      <c r="AD125" s="49"/>
      <c r="AE125" s="49"/>
      <c r="AF125" s="49"/>
      <c r="AG125" s="49"/>
      <c r="AH125" s="49"/>
      <c r="AI125" s="49"/>
      <c r="AJ125" s="24"/>
    </row>
    <row r="126" ht="15.75" customHeight="1">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c r="AA126" s="49"/>
      <c r="AB126" s="49"/>
      <c r="AC126" s="49"/>
      <c r="AD126" s="49"/>
      <c r="AE126" s="49"/>
      <c r="AF126" s="49"/>
      <c r="AG126" s="49"/>
      <c r="AH126" s="49"/>
      <c r="AI126" s="49"/>
      <c r="AJ126" s="24"/>
    </row>
    <row r="127" ht="15.75" customHeight="1">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c r="AA127" s="49"/>
      <c r="AB127" s="49"/>
      <c r="AC127" s="49"/>
      <c r="AD127" s="49"/>
      <c r="AE127" s="49"/>
      <c r="AF127" s="49"/>
      <c r="AG127" s="49"/>
      <c r="AH127" s="49"/>
      <c r="AI127" s="49"/>
      <c r="AJ127" s="24"/>
    </row>
    <row r="128" ht="15.75" customHeight="1">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c r="AA128" s="49"/>
      <c r="AB128" s="49"/>
      <c r="AC128" s="49"/>
      <c r="AD128" s="49"/>
      <c r="AE128" s="49"/>
      <c r="AF128" s="49"/>
      <c r="AG128" s="49"/>
      <c r="AH128" s="49"/>
      <c r="AI128" s="49"/>
      <c r="AJ128" s="24"/>
    </row>
    <row r="129" ht="15.75" customHeight="1">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c r="AA129" s="49"/>
      <c r="AB129" s="49"/>
      <c r="AC129" s="49"/>
      <c r="AD129" s="49"/>
      <c r="AE129" s="49"/>
      <c r="AF129" s="49"/>
      <c r="AG129" s="49"/>
      <c r="AH129" s="49"/>
      <c r="AI129" s="49"/>
      <c r="AJ129" s="24"/>
    </row>
    <row r="130" ht="15.75" customHeight="1">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24"/>
    </row>
    <row r="131" ht="15.75" customHeight="1">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24"/>
    </row>
    <row r="132" ht="15.75" customHeight="1">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24"/>
    </row>
    <row r="133" ht="15.75" customHeight="1">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24"/>
    </row>
    <row r="134" ht="15.75" customHeight="1">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24"/>
    </row>
    <row r="135" ht="15.75" customHeight="1">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24"/>
    </row>
    <row r="136" ht="15.75" customHeight="1">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c r="AA136" s="49"/>
      <c r="AB136" s="49"/>
      <c r="AC136" s="49"/>
      <c r="AD136" s="49"/>
      <c r="AE136" s="49"/>
      <c r="AF136" s="49"/>
      <c r="AG136" s="49"/>
      <c r="AH136" s="49"/>
      <c r="AI136" s="49"/>
      <c r="AJ136" s="24"/>
    </row>
    <row r="137" ht="15.75" customHeight="1">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c r="AA137" s="49"/>
      <c r="AB137" s="49"/>
      <c r="AC137" s="49"/>
      <c r="AD137" s="49"/>
      <c r="AE137" s="49"/>
      <c r="AF137" s="49"/>
      <c r="AG137" s="49"/>
      <c r="AH137" s="49"/>
      <c r="AI137" s="49"/>
      <c r="AJ137" s="24"/>
    </row>
    <row r="138" ht="15.75" customHeight="1">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c r="AA138" s="49"/>
      <c r="AB138" s="49"/>
      <c r="AC138" s="49"/>
      <c r="AD138" s="49"/>
      <c r="AE138" s="49"/>
      <c r="AF138" s="49"/>
      <c r="AG138" s="49"/>
      <c r="AH138" s="49"/>
      <c r="AI138" s="49"/>
      <c r="AJ138" s="24"/>
    </row>
    <row r="139" ht="15.75" customHeight="1">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c r="AA139" s="49"/>
      <c r="AB139" s="49"/>
      <c r="AC139" s="49"/>
      <c r="AD139" s="49"/>
      <c r="AE139" s="49"/>
      <c r="AF139" s="49"/>
      <c r="AG139" s="49"/>
      <c r="AH139" s="49"/>
      <c r="AI139" s="49"/>
      <c r="AJ139" s="24"/>
    </row>
    <row r="140" ht="15.75" customHeight="1">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c r="AA140" s="49"/>
      <c r="AB140" s="49"/>
      <c r="AC140" s="49"/>
      <c r="AD140" s="49"/>
      <c r="AE140" s="49"/>
      <c r="AF140" s="49"/>
      <c r="AG140" s="49"/>
      <c r="AH140" s="49"/>
      <c r="AI140" s="49"/>
      <c r="AJ140" s="24"/>
    </row>
    <row r="141" ht="15.75" customHeight="1">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c r="AA141" s="49"/>
      <c r="AB141" s="49"/>
      <c r="AC141" s="49"/>
      <c r="AD141" s="49"/>
      <c r="AE141" s="49"/>
      <c r="AF141" s="49"/>
      <c r="AG141" s="49"/>
      <c r="AH141" s="49"/>
      <c r="AI141" s="49"/>
      <c r="AJ141" s="24"/>
    </row>
    <row r="142" ht="15.75" customHeight="1">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24"/>
    </row>
    <row r="143" ht="15.75" customHeight="1">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24"/>
    </row>
    <row r="144" ht="15.75" customHeight="1">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c r="AA144" s="49"/>
      <c r="AB144" s="49"/>
      <c r="AC144" s="49"/>
      <c r="AD144" s="49"/>
      <c r="AE144" s="49"/>
      <c r="AF144" s="49"/>
      <c r="AG144" s="49"/>
      <c r="AH144" s="49"/>
      <c r="AI144" s="49"/>
      <c r="AJ144" s="24"/>
    </row>
    <row r="145" ht="15.75" customHeight="1">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c r="AA145" s="49"/>
      <c r="AB145" s="49"/>
      <c r="AC145" s="49"/>
      <c r="AD145" s="49"/>
      <c r="AE145" s="49"/>
      <c r="AF145" s="49"/>
      <c r="AG145" s="49"/>
      <c r="AH145" s="49"/>
      <c r="AI145" s="49"/>
      <c r="AJ145" s="24"/>
    </row>
    <row r="146" ht="15.75" customHeight="1">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24"/>
    </row>
    <row r="147" ht="15.75" customHeight="1">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c r="AA147" s="49"/>
      <c r="AB147" s="49"/>
      <c r="AC147" s="49"/>
      <c r="AD147" s="49"/>
      <c r="AE147" s="49"/>
      <c r="AF147" s="49"/>
      <c r="AG147" s="49"/>
      <c r="AH147" s="49"/>
      <c r="AI147" s="49"/>
      <c r="AJ147" s="24"/>
    </row>
    <row r="148" ht="15.75" customHeight="1">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24"/>
    </row>
    <row r="149" ht="15.75" customHeight="1">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24"/>
    </row>
    <row r="150" ht="15.75" customHeight="1">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24"/>
    </row>
    <row r="151" ht="15.75" customHeight="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c r="AA151" s="49"/>
      <c r="AB151" s="49"/>
      <c r="AC151" s="49"/>
      <c r="AD151" s="49"/>
      <c r="AE151" s="49"/>
      <c r="AF151" s="49"/>
      <c r="AG151" s="49"/>
      <c r="AH151" s="49"/>
      <c r="AI151" s="49"/>
      <c r="AJ151" s="24"/>
    </row>
    <row r="152" ht="15.75" customHeight="1">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24"/>
    </row>
    <row r="153" ht="15.75" customHeight="1">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24"/>
    </row>
    <row r="154" ht="15.75" customHeight="1">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24"/>
    </row>
    <row r="155" ht="15.75" customHeight="1">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24"/>
    </row>
    <row r="156" ht="15.75" customHeight="1">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24"/>
    </row>
    <row r="157" ht="15.75" customHeight="1">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24"/>
    </row>
    <row r="158" ht="15.75" customHeight="1">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24"/>
    </row>
    <row r="159" ht="15.75" customHeight="1">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24"/>
    </row>
    <row r="160" ht="15.75" customHeight="1">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24"/>
    </row>
    <row r="161" ht="15.75" customHeight="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24"/>
    </row>
    <row r="162" ht="15.75" customHeight="1">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24"/>
    </row>
    <row r="163" ht="15.75" customHeight="1">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24"/>
    </row>
    <row r="164" ht="15.75" customHeight="1">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24"/>
    </row>
    <row r="165" ht="15.75" customHeight="1">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24"/>
    </row>
    <row r="166" ht="15.75" customHeight="1">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24"/>
    </row>
    <row r="167" ht="15.75" customHeight="1">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24"/>
    </row>
    <row r="168" ht="15.75" customHeight="1">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24"/>
    </row>
    <row r="169" ht="15.75" customHeight="1">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24"/>
    </row>
    <row r="170" ht="15.75" customHeight="1">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24"/>
    </row>
    <row r="171" ht="15.75" customHeight="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24"/>
    </row>
    <row r="172" ht="15.75" customHeight="1">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24"/>
    </row>
    <row r="173" ht="15.75" customHeight="1">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24"/>
    </row>
    <row r="174" ht="15.75" customHeight="1">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24"/>
    </row>
    <row r="175" ht="15.75" customHeight="1">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24"/>
    </row>
    <row r="176" ht="15.75" customHeight="1">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24"/>
    </row>
    <row r="177" ht="15.75" customHeight="1">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24"/>
    </row>
    <row r="178" ht="15.75" customHeight="1">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24"/>
    </row>
    <row r="179" ht="15.75" customHeight="1">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24"/>
    </row>
    <row r="180" ht="15.75" customHeight="1">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24"/>
    </row>
    <row r="181" ht="15.75" customHeight="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24"/>
    </row>
    <row r="182" ht="15.75" customHeight="1">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24"/>
    </row>
    <row r="183" ht="15.75" customHeight="1">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24"/>
    </row>
    <row r="184" ht="15.75" customHeight="1">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24"/>
    </row>
    <row r="185" ht="15.75" customHeight="1">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24"/>
    </row>
    <row r="186" ht="15.75" customHeight="1">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24"/>
    </row>
    <row r="187" ht="15.75" customHeight="1">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24"/>
    </row>
    <row r="188" ht="15.75" customHeight="1">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24"/>
    </row>
    <row r="189" ht="15.75" customHeight="1">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24"/>
    </row>
    <row r="190" ht="15.75" customHeight="1">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24"/>
    </row>
    <row r="191" ht="15.75" customHeight="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24"/>
    </row>
    <row r="192" ht="15.75" customHeight="1">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24"/>
    </row>
    <row r="193" ht="15.75" customHeight="1">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24"/>
    </row>
    <row r="194" ht="15.75" customHeight="1">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24"/>
    </row>
    <row r="195" ht="15.75" customHeight="1">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24"/>
    </row>
    <row r="196" ht="15.75" customHeight="1">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24"/>
    </row>
    <row r="197" ht="15.75" customHeight="1">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24"/>
    </row>
    <row r="198" ht="15.75" customHeight="1">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24"/>
    </row>
    <row r="199" ht="15.75" customHeight="1">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24"/>
    </row>
    <row r="200" ht="15.75" customHeight="1">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24"/>
    </row>
    <row r="201" ht="15.75" customHeight="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24"/>
    </row>
    <row r="202" ht="15.75" customHeight="1">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24"/>
    </row>
    <row r="203" ht="15.75" customHeight="1">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24"/>
    </row>
    <row r="204" ht="15.75" customHeight="1">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24"/>
    </row>
    <row r="205"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row>
    <row r="206"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row>
    <row r="207"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c r="AG207" s="24"/>
      <c r="AH207" s="24"/>
      <c r="AI207" s="24"/>
      <c r="AJ207" s="24"/>
    </row>
    <row r="208"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c r="AD208" s="24"/>
      <c r="AE208" s="24"/>
      <c r="AF208" s="24"/>
      <c r="AG208" s="24"/>
      <c r="AH208" s="24"/>
      <c r="AI208" s="24"/>
      <c r="AJ208" s="24"/>
    </row>
    <row r="209"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c r="AG209" s="24"/>
      <c r="AH209" s="24"/>
      <c r="AI209" s="24"/>
      <c r="AJ209" s="24"/>
    </row>
    <row r="210"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c r="AG210" s="24"/>
      <c r="AH210" s="24"/>
      <c r="AI210" s="24"/>
      <c r="AJ210" s="24"/>
    </row>
    <row r="211"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c r="AG211" s="24"/>
      <c r="AH211" s="24"/>
      <c r="AI211" s="24"/>
      <c r="AJ211" s="24"/>
    </row>
    <row r="212"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c r="AD212" s="24"/>
      <c r="AE212" s="24"/>
      <c r="AF212" s="24"/>
      <c r="AG212" s="24"/>
      <c r="AH212" s="24"/>
      <c r="AI212" s="24"/>
      <c r="AJ212" s="24"/>
    </row>
    <row r="213"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c r="AG213" s="24"/>
      <c r="AH213" s="24"/>
      <c r="AI213" s="24"/>
      <c r="AJ213" s="24"/>
    </row>
    <row r="214"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c r="AD214" s="24"/>
      <c r="AE214" s="24"/>
      <c r="AF214" s="24"/>
      <c r="AG214" s="24"/>
      <c r="AH214" s="24"/>
      <c r="AI214" s="24"/>
      <c r="AJ214" s="24"/>
    </row>
    <row r="215"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c r="AG215" s="24"/>
      <c r="AH215" s="24"/>
      <c r="AI215" s="24"/>
      <c r="AJ215" s="24"/>
    </row>
    <row r="216"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c r="AG216" s="24"/>
      <c r="AH216" s="24"/>
      <c r="AI216" s="24"/>
      <c r="AJ216" s="24"/>
    </row>
    <row r="217"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c r="AG217" s="24"/>
      <c r="AH217" s="24"/>
      <c r="AI217" s="24"/>
      <c r="AJ217" s="24"/>
    </row>
    <row r="218"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c r="AD218" s="24"/>
      <c r="AE218" s="24"/>
      <c r="AF218" s="24"/>
      <c r="AG218" s="24"/>
      <c r="AH218" s="24"/>
      <c r="AI218" s="24"/>
      <c r="AJ218" s="24"/>
    </row>
    <row r="219"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c r="AG219" s="24"/>
      <c r="AH219" s="24"/>
      <c r="AI219" s="24"/>
      <c r="AJ219" s="24"/>
    </row>
    <row r="220"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c r="AD220" s="24"/>
      <c r="AE220" s="24"/>
      <c r="AF220" s="24"/>
      <c r="AG220" s="24"/>
      <c r="AH220" s="24"/>
      <c r="AI220" s="24"/>
      <c r="AJ220" s="24"/>
    </row>
    <row r="221"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c r="AG221" s="24"/>
      <c r="AH221" s="24"/>
      <c r="AI221" s="24"/>
      <c r="AJ221" s="24"/>
    </row>
    <row r="222"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c r="AD222" s="24"/>
      <c r="AE222" s="24"/>
      <c r="AF222" s="24"/>
      <c r="AG222" s="24"/>
      <c r="AH222" s="24"/>
      <c r="AI222" s="24"/>
      <c r="AJ222" s="24"/>
    </row>
    <row r="223"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c r="AD223" s="24"/>
      <c r="AE223" s="24"/>
      <c r="AF223" s="24"/>
      <c r="AG223" s="24"/>
      <c r="AH223" s="24"/>
      <c r="AI223" s="24"/>
      <c r="AJ223" s="24"/>
    </row>
    <row r="224"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c r="AD224" s="24"/>
      <c r="AE224" s="24"/>
      <c r="AF224" s="24"/>
      <c r="AG224" s="24"/>
      <c r="AH224" s="24"/>
      <c r="AI224" s="24"/>
      <c r="AJ224" s="24"/>
    </row>
    <row r="225"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c r="AD225" s="24"/>
      <c r="AE225" s="24"/>
      <c r="AF225" s="24"/>
      <c r="AG225" s="24"/>
      <c r="AH225" s="24"/>
      <c r="AI225" s="24"/>
      <c r="AJ225" s="24"/>
    </row>
    <row r="226"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c r="AD226" s="24"/>
      <c r="AE226" s="24"/>
      <c r="AF226" s="24"/>
      <c r="AG226" s="24"/>
      <c r="AH226" s="24"/>
      <c r="AI226" s="24"/>
      <c r="AJ226" s="24"/>
    </row>
    <row r="227"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row>
    <row r="228"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c r="AD228" s="24"/>
      <c r="AE228" s="24"/>
      <c r="AF228" s="24"/>
      <c r="AG228" s="24"/>
      <c r="AH228" s="24"/>
      <c r="AI228" s="24"/>
      <c r="AJ228" s="24"/>
    </row>
    <row r="229"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c r="AD229" s="24"/>
      <c r="AE229" s="24"/>
      <c r="AF229" s="24"/>
      <c r="AG229" s="24"/>
      <c r="AH229" s="24"/>
      <c r="AI229" s="24"/>
      <c r="AJ229" s="24"/>
    </row>
    <row r="230"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c r="AD230" s="24"/>
      <c r="AE230" s="24"/>
      <c r="AF230" s="24"/>
      <c r="AG230" s="24"/>
      <c r="AH230" s="24"/>
      <c r="AI230" s="24"/>
      <c r="AJ230" s="24"/>
    </row>
    <row r="231"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c r="AH231" s="24"/>
      <c r="AI231" s="24"/>
      <c r="AJ231" s="24"/>
    </row>
    <row r="232"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c r="AH232" s="24"/>
      <c r="AI232" s="24"/>
      <c r="AJ232" s="24"/>
    </row>
    <row r="233"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c r="AH233" s="24"/>
      <c r="AI233" s="24"/>
      <c r="AJ233" s="24"/>
    </row>
    <row r="234"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c r="AH234" s="24"/>
      <c r="AI234" s="24"/>
      <c r="AJ234" s="24"/>
    </row>
    <row r="235"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c r="AH235" s="24"/>
      <c r="AI235" s="24"/>
      <c r="AJ235" s="24"/>
    </row>
    <row r="236"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c r="AH236" s="24"/>
      <c r="AI236" s="24"/>
      <c r="AJ236" s="24"/>
    </row>
    <row r="237"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c r="AH237" s="24"/>
      <c r="AI237" s="24"/>
      <c r="AJ237" s="24"/>
    </row>
    <row r="238"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c r="AH238" s="24"/>
      <c r="AI238" s="24"/>
      <c r="AJ238" s="24"/>
    </row>
    <row r="239"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c r="AH239" s="24"/>
      <c r="AI239" s="24"/>
      <c r="AJ239" s="24"/>
    </row>
    <row r="240"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c r="AH240" s="24"/>
      <c r="AI240" s="24"/>
      <c r="AJ240" s="24"/>
    </row>
    <row r="241"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c r="AJ241" s="24"/>
    </row>
    <row r="242"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c r="AH242" s="24"/>
      <c r="AI242" s="24"/>
      <c r="AJ242" s="24"/>
    </row>
    <row r="243"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c r="AH243" s="24"/>
      <c r="AI243" s="24"/>
      <c r="AJ243" s="24"/>
    </row>
    <row r="244"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c r="AH244" s="24"/>
      <c r="AI244" s="24"/>
      <c r="AJ244" s="24"/>
    </row>
    <row r="245"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c r="AH245" s="24"/>
      <c r="AI245" s="24"/>
      <c r="AJ245" s="24"/>
    </row>
    <row r="246"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c r="AH246" s="24"/>
      <c r="AI246" s="24"/>
      <c r="AJ246" s="24"/>
    </row>
    <row r="247"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c r="AH247" s="24"/>
      <c r="AI247" s="24"/>
      <c r="AJ247" s="24"/>
    </row>
    <row r="248"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c r="AH248" s="24"/>
      <c r="AI248" s="24"/>
      <c r="AJ248" s="24"/>
    </row>
    <row r="249"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c r="AH249" s="24"/>
      <c r="AI249" s="24"/>
      <c r="AJ249" s="24"/>
    </row>
    <row r="250"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c r="AH250" s="24"/>
      <c r="AI250" s="24"/>
      <c r="AJ250" s="24"/>
    </row>
    <row r="251"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c r="AH251" s="24"/>
      <c r="AI251" s="24"/>
      <c r="AJ251" s="24"/>
    </row>
    <row r="252"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c r="AH252" s="24"/>
      <c r="AI252" s="24"/>
      <c r="AJ252" s="24"/>
    </row>
    <row r="253"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c r="AH253" s="24"/>
      <c r="AI253" s="24"/>
      <c r="AJ253" s="24"/>
    </row>
    <row r="254"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c r="AH254" s="24"/>
      <c r="AI254" s="24"/>
      <c r="AJ254" s="24"/>
    </row>
    <row r="255"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c r="AH255" s="24"/>
      <c r="AI255" s="24"/>
      <c r="AJ255" s="24"/>
    </row>
    <row r="256"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c r="AH256" s="24"/>
      <c r="AI256" s="24"/>
      <c r="AJ256" s="24"/>
    </row>
    <row r="257"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c r="AH257" s="24"/>
      <c r="AI257" s="24"/>
      <c r="AJ257" s="24"/>
    </row>
    <row r="258"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c r="AH258" s="24"/>
      <c r="AI258" s="24"/>
      <c r="AJ258" s="24"/>
    </row>
    <row r="259"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c r="AH259" s="24"/>
      <c r="AI259" s="24"/>
      <c r="AJ259" s="24"/>
    </row>
    <row r="260"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c r="AH260" s="24"/>
      <c r="AI260" s="24"/>
      <c r="AJ260" s="24"/>
    </row>
    <row r="261"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c r="AH261" s="24"/>
      <c r="AI261" s="24"/>
      <c r="AJ261" s="24"/>
    </row>
    <row r="262"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c r="AH262" s="24"/>
      <c r="AI262" s="24"/>
      <c r="AJ262" s="24"/>
    </row>
    <row r="263"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c r="AH263" s="24"/>
      <c r="AI263" s="24"/>
      <c r="AJ263" s="24"/>
    </row>
    <row r="264"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c r="AH264" s="24"/>
      <c r="AI264" s="24"/>
      <c r="AJ264" s="24"/>
    </row>
    <row r="265"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c r="AH265" s="24"/>
      <c r="AI265" s="24"/>
      <c r="AJ265" s="24"/>
    </row>
    <row r="266"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c r="AH266" s="24"/>
      <c r="AI266" s="24"/>
      <c r="AJ266" s="24"/>
    </row>
    <row r="267"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c r="AH267" s="24"/>
      <c r="AI267" s="24"/>
      <c r="AJ267" s="24"/>
    </row>
    <row r="268"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c r="AH268" s="24"/>
      <c r="AI268" s="24"/>
      <c r="AJ268" s="24"/>
    </row>
    <row r="269"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c r="AH269" s="24"/>
      <c r="AI269" s="24"/>
      <c r="AJ269" s="24"/>
    </row>
    <row r="270"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c r="AH270" s="24"/>
      <c r="AI270" s="24"/>
      <c r="AJ270" s="24"/>
    </row>
    <row r="271"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c r="AH271" s="24"/>
      <c r="AI271" s="24"/>
      <c r="AJ271" s="24"/>
    </row>
    <row r="272"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c r="AH272" s="24"/>
      <c r="AI272" s="24"/>
      <c r="AJ272" s="24"/>
    </row>
    <row r="273"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c r="AH273" s="24"/>
      <c r="AI273" s="24"/>
      <c r="AJ273" s="24"/>
    </row>
    <row r="274"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c r="AH274" s="24"/>
      <c r="AI274" s="24"/>
      <c r="AJ274" s="24"/>
    </row>
    <row r="275"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c r="AH275" s="24"/>
      <c r="AI275" s="24"/>
      <c r="AJ275" s="24"/>
    </row>
    <row r="276"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c r="AH276" s="24"/>
      <c r="AI276" s="24"/>
      <c r="AJ276" s="24"/>
    </row>
    <row r="277"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c r="AH277" s="24"/>
      <c r="AI277" s="24"/>
      <c r="AJ277" s="24"/>
    </row>
    <row r="278"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c r="AH278" s="24"/>
      <c r="AI278" s="24"/>
      <c r="AJ278" s="24"/>
    </row>
    <row r="279"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c r="AH279" s="24"/>
      <c r="AI279" s="24"/>
      <c r="AJ279" s="24"/>
    </row>
    <row r="280"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c r="AH280" s="24"/>
      <c r="AI280" s="24"/>
      <c r="AJ280" s="24"/>
    </row>
    <row r="281"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c r="AH281" s="24"/>
      <c r="AI281" s="24"/>
      <c r="AJ281" s="24"/>
    </row>
    <row r="282"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c r="AH282" s="24"/>
      <c r="AI282" s="24"/>
      <c r="AJ282" s="24"/>
    </row>
    <row r="283"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c r="AH283" s="24"/>
      <c r="AI283" s="24"/>
      <c r="AJ283" s="24"/>
    </row>
    <row r="284"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c r="AH284" s="24"/>
      <c r="AI284" s="24"/>
      <c r="AJ284" s="24"/>
    </row>
    <row r="285"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row>
    <row r="286"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row>
    <row r="287"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c r="AH287" s="24"/>
      <c r="AI287" s="24"/>
      <c r="AJ287" s="24"/>
    </row>
    <row r="288"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c r="AH288" s="24"/>
      <c r="AI288" s="24"/>
      <c r="AJ288" s="24"/>
    </row>
    <row r="289"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c r="AH289" s="24"/>
      <c r="AI289" s="24"/>
      <c r="AJ289" s="24"/>
    </row>
    <row r="290"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c r="AH290" s="24"/>
      <c r="AI290" s="24"/>
      <c r="AJ290" s="24"/>
    </row>
    <row r="291"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c r="AH291" s="24"/>
      <c r="AI291" s="24"/>
      <c r="AJ291" s="24"/>
    </row>
    <row r="292"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c r="AH292" s="24"/>
      <c r="AI292" s="24"/>
      <c r="AJ292" s="24"/>
    </row>
    <row r="293"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c r="AH293" s="24"/>
      <c r="AI293" s="24"/>
      <c r="AJ293" s="24"/>
    </row>
    <row r="294"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c r="AH294" s="24"/>
      <c r="AI294" s="24"/>
      <c r="AJ294" s="24"/>
    </row>
    <row r="295"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c r="AH295" s="24"/>
      <c r="AI295" s="24"/>
      <c r="AJ295" s="24"/>
    </row>
    <row r="296"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c r="AH296" s="24"/>
      <c r="AI296" s="24"/>
      <c r="AJ296" s="24"/>
    </row>
    <row r="297"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c r="AH297" s="24"/>
      <c r="AI297" s="24"/>
      <c r="AJ297" s="24"/>
    </row>
    <row r="298"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c r="AH298" s="24"/>
      <c r="AI298" s="24"/>
      <c r="AJ298" s="24"/>
    </row>
    <row r="299"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c r="AH299" s="24"/>
      <c r="AI299" s="24"/>
      <c r="AJ299" s="24"/>
    </row>
    <row r="300"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row>
    <row r="301"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row>
    <row r="302"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c r="AH302" s="24"/>
      <c r="AI302" s="24"/>
      <c r="AJ302" s="24"/>
    </row>
    <row r="303"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row>
    <row r="304"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c r="AH304" s="24"/>
      <c r="AI304" s="24"/>
      <c r="AJ304" s="24"/>
    </row>
    <row r="305"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c r="AH305" s="24"/>
      <c r="AI305" s="24"/>
      <c r="AJ305" s="24"/>
    </row>
    <row r="306"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c r="AH306" s="24"/>
      <c r="AI306" s="24"/>
      <c r="AJ306" s="24"/>
    </row>
    <row r="307"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c r="AH307" s="24"/>
      <c r="AI307" s="24"/>
      <c r="AJ307" s="24"/>
    </row>
    <row r="308"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c r="AH308" s="24"/>
      <c r="AI308" s="24"/>
      <c r="AJ308" s="24"/>
    </row>
    <row r="309"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c r="AH309" s="24"/>
      <c r="AI309" s="24"/>
      <c r="AJ309" s="24"/>
    </row>
    <row r="310"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c r="AH310" s="24"/>
      <c r="AI310" s="24"/>
      <c r="AJ310" s="24"/>
    </row>
    <row r="311"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c r="AH311" s="24"/>
      <c r="AI311" s="24"/>
      <c r="AJ311" s="24"/>
    </row>
    <row r="312"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row>
    <row r="313"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row>
    <row r="314"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row>
    <row r="315"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row>
    <row r="316"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row>
    <row r="317"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row>
    <row r="318"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row>
    <row r="319"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row>
    <row r="320"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row>
    <row r="321"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row>
    <row r="322"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row>
    <row r="323"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row>
    <row r="324"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row>
    <row r="325"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row>
    <row r="326"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row>
    <row r="327"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row>
    <row r="328"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row>
    <row r="329"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row>
    <row r="330"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row>
    <row r="331"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row>
    <row r="332"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row>
    <row r="333"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row>
    <row r="334"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row>
    <row r="335"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row>
    <row r="336"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row>
    <row r="337"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row>
    <row r="338"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row>
    <row r="339"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row>
    <row r="340"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row>
    <row r="341"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row>
    <row r="342"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row>
    <row r="343"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row>
    <row r="344"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row>
    <row r="345"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row>
    <row r="346"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row>
    <row r="347"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row>
    <row r="348"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row>
    <row r="349"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row>
    <row r="350"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row>
    <row r="351"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row>
    <row r="352"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row>
    <row r="353"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row>
    <row r="354"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row>
    <row r="355"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row>
    <row r="356"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row>
    <row r="357"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row>
    <row r="358"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row>
    <row r="359"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row>
    <row r="360"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row>
    <row r="361"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row>
    <row r="362"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row>
    <row r="363"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row>
    <row r="364"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row>
    <row r="365"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row>
    <row r="366"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row>
    <row r="367"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row>
    <row r="368"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row>
    <row r="369"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row>
    <row r="370"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row>
    <row r="371"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row>
    <row r="372"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row>
    <row r="373"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row>
    <row r="374"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row>
    <row r="375"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row>
    <row r="376"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row>
    <row r="377"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row>
    <row r="378"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row>
    <row r="379"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row>
    <row r="380"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row>
    <row r="381"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row>
    <row r="382"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row>
    <row r="383"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row>
    <row r="384"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row>
    <row r="385"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row>
    <row r="386"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row>
    <row r="387"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row>
    <row r="388"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row>
    <row r="389"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row>
    <row r="390"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row>
    <row r="391"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row>
    <row r="392"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row>
    <row r="393"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row>
    <row r="394"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row>
    <row r="395"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row>
    <row r="396"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row>
    <row r="397"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row>
    <row r="398"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row>
    <row r="399"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row>
    <row r="400"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row>
    <row r="401"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row>
    <row r="402"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row>
    <row r="403"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row>
    <row r="404"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row>
    <row r="405"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row>
    <row r="406"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row>
    <row r="407"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row>
    <row r="408"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row>
    <row r="409"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row>
    <row r="410"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row>
    <row r="411"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row>
    <row r="412"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row>
    <row r="413"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row>
    <row r="414"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row>
    <row r="415"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row>
    <row r="416"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row>
    <row r="417"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row>
    <row r="418"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row>
    <row r="419"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row>
    <row r="420"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row>
    <row r="421"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row>
    <row r="422"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row>
    <row r="423"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row>
    <row r="424"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row>
    <row r="425"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row>
    <row r="426"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row>
    <row r="427"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row>
    <row r="428"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row>
    <row r="429"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row>
    <row r="430"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row>
    <row r="431"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row>
    <row r="432"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row>
    <row r="433"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row>
    <row r="434"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row>
    <row r="435"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row>
    <row r="436"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row>
    <row r="437"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row>
    <row r="438"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row>
    <row r="439"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row>
    <row r="440"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row>
    <row r="441"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row>
    <row r="442"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row>
    <row r="443"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row>
    <row r="444"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row>
    <row r="445"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row>
    <row r="446"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row>
    <row r="447"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row>
    <row r="448"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row>
    <row r="449"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row>
    <row r="450"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row>
    <row r="451"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row>
    <row r="452"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row>
    <row r="453"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row>
    <row r="454"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row>
    <row r="455"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row>
    <row r="456"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row>
    <row r="457"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row>
    <row r="458"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row>
    <row r="459"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row>
    <row r="460"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row>
    <row r="461"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row>
    <row r="462"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row>
    <row r="463"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row>
    <row r="464"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row>
    <row r="465"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row>
    <row r="466"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row>
    <row r="467"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row>
    <row r="468"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row>
    <row r="469"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row>
    <row r="470"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row>
    <row r="471"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row>
    <row r="472"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row>
    <row r="473"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row>
    <row r="474"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row>
    <row r="475"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row>
    <row r="476"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row>
    <row r="477"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row>
    <row r="478"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row>
    <row r="479"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row>
    <row r="480"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row>
    <row r="481"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row>
    <row r="482"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row>
    <row r="483"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row>
    <row r="484"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row>
    <row r="485"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row>
    <row r="486"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row>
    <row r="487"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row>
    <row r="488"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row>
    <row r="489"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row>
    <row r="490"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row>
    <row r="491"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row>
    <row r="492"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row>
    <row r="493"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row>
    <row r="494"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row>
    <row r="495"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row>
    <row r="496"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row>
    <row r="497"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row>
    <row r="498"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row>
    <row r="499"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row>
    <row r="500"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row>
    <row r="501"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row>
    <row r="502"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row>
    <row r="503"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row>
    <row r="504"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row>
    <row r="505"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row>
    <row r="506"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row>
    <row r="507"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row>
    <row r="508"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row>
    <row r="509"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row>
    <row r="510"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row>
    <row r="511"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row>
    <row r="512"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row>
    <row r="513"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row>
    <row r="514"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row>
    <row r="515"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row>
    <row r="516"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row>
    <row r="517"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row>
    <row r="518"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row>
    <row r="519"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row>
    <row r="520"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row>
    <row r="521"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row>
    <row r="522"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row>
    <row r="523"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row>
    <row r="524"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row>
    <row r="525"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row>
    <row r="526"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row>
    <row r="527"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row>
    <row r="528"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row>
    <row r="529"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row>
    <row r="530"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row>
    <row r="531"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row>
    <row r="532"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row>
    <row r="533"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row>
    <row r="534"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row>
    <row r="535"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row>
    <row r="536"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row>
    <row r="537"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row>
    <row r="538"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row>
    <row r="539"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row>
    <row r="540"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row>
    <row r="541"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row>
    <row r="542"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row>
    <row r="543"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row>
    <row r="544"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row>
    <row r="545"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row>
    <row r="546"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row>
    <row r="547"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row>
    <row r="548"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row>
    <row r="549"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row>
    <row r="550"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row>
    <row r="551"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row>
    <row r="552"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row>
    <row r="553"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row>
    <row r="554"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row>
    <row r="555"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row>
    <row r="556"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row>
    <row r="557"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row>
    <row r="558"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row>
    <row r="559"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row>
    <row r="560"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row>
    <row r="561"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row>
    <row r="562"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row>
    <row r="563"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row>
    <row r="564"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row>
    <row r="565"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row>
    <row r="566"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row>
    <row r="567"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row>
    <row r="568"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row>
    <row r="569"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row>
    <row r="570"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row>
    <row r="571"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row>
    <row r="572"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row>
    <row r="573"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row>
    <row r="574"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row>
    <row r="575"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row>
    <row r="576"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row>
    <row r="577"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row>
    <row r="578"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row>
    <row r="579"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row>
    <row r="580"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row>
    <row r="581"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row>
    <row r="582"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row>
    <row r="583"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row>
    <row r="584"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row>
    <row r="585"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row>
    <row r="586"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row>
    <row r="587"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row>
    <row r="588"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row>
    <row r="589"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row>
    <row r="590"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row>
    <row r="591"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row>
    <row r="592"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row>
    <row r="593"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row>
    <row r="594"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row>
    <row r="595"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row>
    <row r="596"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row>
    <row r="597"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row>
    <row r="598"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row>
    <row r="599"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row>
    <row r="600"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row>
    <row r="601"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row>
    <row r="602"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row>
    <row r="603"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row>
    <row r="604"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row>
    <row r="605"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row>
    <row r="606"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row>
    <row r="607"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row>
    <row r="608"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row>
    <row r="609"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row>
    <row r="610"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row>
    <row r="611"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row>
    <row r="612"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row>
    <row r="613"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row>
    <row r="614"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row>
    <row r="615"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row>
    <row r="616"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row>
    <row r="617"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row>
    <row r="618"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row>
    <row r="619"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row>
    <row r="620"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row>
    <row r="621"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row>
    <row r="622"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row>
    <row r="623"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row>
    <row r="624"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row>
    <row r="625"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row>
    <row r="626"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row>
    <row r="627"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row>
    <row r="628"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row>
    <row r="629"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row>
    <row r="630"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row>
    <row r="631"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row>
    <row r="632"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row>
    <row r="633"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row>
    <row r="634"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row>
    <row r="635"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row>
    <row r="636"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row>
    <row r="637"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row>
    <row r="638"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row>
    <row r="639"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row>
    <row r="640"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row>
    <row r="641"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row>
    <row r="642"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row>
    <row r="643"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row>
    <row r="644"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row>
    <row r="645"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row>
    <row r="646"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row>
    <row r="647"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row>
    <row r="648"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row>
    <row r="649"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row>
    <row r="650"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row>
    <row r="651"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row>
    <row r="652"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row>
    <row r="653"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row>
    <row r="654"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row>
    <row r="655"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row>
    <row r="656"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row>
    <row r="657"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row>
    <row r="658"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row>
    <row r="659"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row>
    <row r="660"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row>
    <row r="661"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row>
    <row r="662"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row>
    <row r="663"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row>
    <row r="664"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row>
    <row r="665"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row>
    <row r="666"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row>
    <row r="667"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row>
    <row r="668"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row>
    <row r="669"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row>
    <row r="670"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row>
    <row r="671"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row>
    <row r="672"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row>
    <row r="673"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row>
    <row r="674"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row>
    <row r="675"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row>
    <row r="676"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row>
    <row r="677"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row>
    <row r="678"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row>
    <row r="679"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row>
    <row r="680"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row>
    <row r="681"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row>
    <row r="682"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row>
    <row r="683"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row>
    <row r="684"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row>
    <row r="685"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row>
    <row r="686"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row>
    <row r="687"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row>
    <row r="688"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row>
    <row r="689"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row>
    <row r="690"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row>
    <row r="691"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row>
    <row r="692"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row>
    <row r="693"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row>
    <row r="694"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row>
    <row r="695"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row>
    <row r="696"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row>
    <row r="697"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row>
    <row r="698"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row>
    <row r="699"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row>
    <row r="700"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row>
    <row r="701"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row>
    <row r="702"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row>
    <row r="703"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row>
    <row r="704"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row>
    <row r="705"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row>
    <row r="706"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row>
    <row r="707"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row>
    <row r="708"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row>
    <row r="709"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row>
    <row r="710"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row>
    <row r="711"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row>
    <row r="712"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row>
    <row r="713"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row>
    <row r="714"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row>
    <row r="715"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row>
    <row r="716"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row>
    <row r="717"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row>
    <row r="718"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row>
    <row r="719"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row>
    <row r="720"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row>
    <row r="721"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row>
    <row r="722"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row>
    <row r="723"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row>
    <row r="724"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row>
    <row r="725"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row>
    <row r="726"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row>
    <row r="727"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row>
    <row r="728"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row>
    <row r="729"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row>
    <row r="730"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row>
    <row r="731"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row>
    <row r="732"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row>
    <row r="733"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row>
    <row r="734"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row>
    <row r="735"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row>
    <row r="736"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row>
    <row r="737"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row>
    <row r="738"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row>
    <row r="739"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row>
    <row r="740"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row>
    <row r="741"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row>
    <row r="742"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row>
    <row r="743"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row>
    <row r="744"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row>
    <row r="745"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row>
    <row r="746"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row>
    <row r="747"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row>
    <row r="748"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row>
    <row r="749"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row>
    <row r="750"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row>
    <row r="751"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row>
    <row r="752"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row>
    <row r="753"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row>
    <row r="754"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row>
    <row r="755"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row>
    <row r="756"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row>
    <row r="757"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row>
    <row r="758"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row>
    <row r="759"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row>
    <row r="760"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row>
    <row r="761"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row>
    <row r="762"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row>
    <row r="763"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row>
    <row r="764"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row>
    <row r="765"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row>
    <row r="766"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row>
    <row r="767"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row>
    <row r="768"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row>
    <row r="769"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row>
    <row r="770"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row>
    <row r="771"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row>
    <row r="772"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row>
    <row r="773"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row>
    <row r="774"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row>
    <row r="775"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row>
    <row r="776"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row>
    <row r="777"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row>
    <row r="778"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row>
    <row r="779"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row>
    <row r="780"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row>
    <row r="781"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row>
    <row r="782"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row>
    <row r="783"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row>
    <row r="784"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row>
    <row r="785"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row>
    <row r="786"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row>
    <row r="787"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row>
    <row r="788"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row>
    <row r="789"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row>
    <row r="790"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row>
    <row r="791"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row>
    <row r="792"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row>
    <row r="793"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row>
    <row r="794"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row>
    <row r="795"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row>
    <row r="796"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row>
    <row r="797"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row>
    <row r="798"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row>
    <row r="799"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row>
    <row r="800"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row>
    <row r="801"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row>
    <row r="802"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row>
    <row r="803"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row>
    <row r="804"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row>
    <row r="805"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row>
    <row r="806"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row>
    <row r="807"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row>
    <row r="808"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row>
    <row r="809"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row>
    <row r="810"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row>
    <row r="811"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row>
    <row r="812"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row>
    <row r="813"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row>
    <row r="814"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row>
    <row r="815"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row>
    <row r="816"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row>
    <row r="817"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row>
    <row r="818"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row>
    <row r="819"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row>
    <row r="820"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row>
    <row r="821"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row>
    <row r="822"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row>
    <row r="823"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row>
    <row r="824"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row>
    <row r="825"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row>
    <row r="826"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row>
    <row r="827"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row>
    <row r="828"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row>
    <row r="829"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row>
    <row r="830"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row>
    <row r="831"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row>
    <row r="832"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row>
    <row r="833"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row>
    <row r="834"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row>
    <row r="835"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row>
    <row r="836"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row>
    <row r="837"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row>
    <row r="838"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row>
    <row r="839"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row>
    <row r="840"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row>
    <row r="841"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row>
    <row r="842"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row>
    <row r="843"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row>
    <row r="844"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row>
    <row r="845"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row>
    <row r="846"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row>
    <row r="847"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row>
    <row r="848"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row>
    <row r="849"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row>
    <row r="850"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row>
    <row r="851"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row>
    <row r="852"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row>
    <row r="853"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row>
    <row r="854"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row>
    <row r="855"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row>
    <row r="856"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row>
    <row r="857"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row>
    <row r="858"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row>
    <row r="859"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row>
    <row r="860"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row>
    <row r="861"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row>
    <row r="862"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row>
    <row r="863"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row>
    <row r="864"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row>
    <row r="865"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row>
    <row r="866"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row>
    <row r="867"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row>
    <row r="868"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row>
    <row r="869"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row>
    <row r="870"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row>
    <row r="871"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row>
    <row r="872"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row>
    <row r="873"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row>
    <row r="874"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row>
    <row r="875"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row>
    <row r="876"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row>
    <row r="877"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row>
    <row r="878"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row>
    <row r="879"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row>
    <row r="880"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row>
    <row r="881"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row>
    <row r="882"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row>
    <row r="883"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row>
    <row r="884"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row>
    <row r="885"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row>
    <row r="886"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row>
    <row r="887"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row>
    <row r="888"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row>
    <row r="889"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row>
    <row r="890"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row>
    <row r="891"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row>
    <row r="892"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row>
    <row r="893"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row>
    <row r="894"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row>
    <row r="895"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row>
    <row r="896"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row>
    <row r="897"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row>
    <row r="898"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row>
    <row r="899"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row>
    <row r="900"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row>
    <row r="901"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row>
    <row r="902"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row>
    <row r="903"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row>
    <row r="904"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row>
    <row r="905"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row>
    <row r="906"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row>
    <row r="907"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row>
    <row r="908"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row>
    <row r="909"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row>
    <row r="910"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row>
    <row r="911"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row>
    <row r="912"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row>
    <row r="913"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row>
    <row r="914"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row>
    <row r="915"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row>
    <row r="916"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row>
    <row r="917"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row>
    <row r="918"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row>
    <row r="919"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row>
    <row r="920"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row>
    <row r="921"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row>
    <row r="922"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row>
    <row r="923"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row>
    <row r="924"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row>
    <row r="925"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row>
    <row r="926"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row>
    <row r="927"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row>
    <row r="928"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row>
    <row r="929"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row>
    <row r="930"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row>
    <row r="931"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row>
    <row r="932"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row>
    <row r="933"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row>
    <row r="934"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row>
    <row r="935"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row>
    <row r="936"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row>
    <row r="937"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row>
    <row r="938"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row>
    <row r="939"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row>
    <row r="940"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row>
    <row r="941"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row>
    <row r="942"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row>
    <row r="943"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row>
    <row r="944"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row>
    <row r="945"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row>
    <row r="946"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row>
    <row r="947"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row>
    <row r="948"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row>
    <row r="949"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row>
    <row r="950"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row>
    <row r="951"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row>
    <row r="952"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row>
    <row r="953"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row>
    <row r="954"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row>
    <row r="955"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row>
    <row r="956"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row>
    <row r="957"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row>
    <row r="958"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row>
    <row r="959"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row>
    <row r="960"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row>
    <row r="961"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row>
    <row r="962"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row>
    <row r="963"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row>
    <row r="964"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row>
    <row r="965"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row>
    <row r="966" ht="15.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row>
    <row r="967" ht="15.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row>
    <row r="968" ht="15.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row>
    <row r="969" ht="15.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row>
    <row r="970" ht="15.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row>
    <row r="971" ht="15.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row>
    <row r="972" ht="15.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row>
    <row r="973" ht="15.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row>
    <row r="974" ht="15.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row>
    <row r="975" ht="15.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row>
    <row r="976" ht="15.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row>
    <row r="977" ht="15.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row>
    <row r="978" ht="15.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row>
    <row r="979" ht="15.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row>
    <row r="980" ht="15.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row>
    <row r="981" ht="15.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row>
    <row r="982" ht="15.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row>
    <row r="983" ht="15.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row>
    <row r="984" ht="15.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row>
  </sheetData>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file>